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ms-excel.sheet.macroEnabled.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diagrams/data1.xml" ContentType="application/vnd.openxmlformats-officedocument.drawingml.diagramData+xml"/>
  <Override PartName="/xl/diagrams/layout1.xml" ContentType="application/vnd.openxmlformats-officedocument.drawingml.diagramLayout+xml"/>
  <Override PartName="/xl/diagrams/quickStyle1.xml" ContentType="application/vnd.openxmlformats-officedocument.drawingml.diagramStyle+xml"/>
  <Override PartName="/xl/diagrams/colors1.xml" ContentType="application/vnd.openxmlformats-officedocument.drawingml.diagramColors+xml"/>
  <Override PartName="/xl/diagrams/drawing1.xml" ContentType="application/vnd.ms-office.drawingml.diagram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xl/vbaProject.bin" ContentType="application/vnd.ms-office.vbaProject"/>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328" codeName="{51196F13-6AD0-C1B8-E2B4-A1F9AE17003E}"/>
  <workbookPr codeName="ThisWorkbook"/>
  <mc:AlternateContent xmlns:mc="http://schemas.openxmlformats.org/markup-compatibility/2006">
    <mc:Choice Requires="x15">
      <x15ac:absPath xmlns:x15ac="http://schemas.microsoft.com/office/spreadsheetml/2010/11/ac" url="C:\Users\westj\Desktop\~xls\"/>
    </mc:Choice>
  </mc:AlternateContent>
  <xr:revisionPtr revIDLastSave="0" documentId="13_ncr:1_{8778EEA7-292F-460A-AAD4-51250CCAE7D3}" xr6:coauthVersionLast="45" xr6:coauthVersionMax="45" xr10:uidLastSave="{00000000-0000-0000-0000-000000000000}"/>
  <bookViews>
    <workbookView xWindow="-120" yWindow="-120" windowWidth="20730" windowHeight="11160" firstSheet="1" activeTab="1" xr2:uid="{00000000-000D-0000-FFFF-FFFF00000000}"/>
  </bookViews>
  <sheets>
    <sheet name="DHCS Only" sheetId="21" state="hidden" r:id="rId1"/>
    <sheet name="Instructions" sheetId="20" r:id="rId2"/>
    <sheet name="1. Information" sheetId="12" r:id="rId3"/>
    <sheet name="2. Component Summary" sheetId="19" r:id="rId4"/>
    <sheet name="3. CSS" sheetId="1" r:id="rId5"/>
    <sheet name="4. PEI" sheetId="2" r:id="rId6"/>
    <sheet name="5. INN" sheetId="3" r:id="rId7"/>
    <sheet name="6. WET" sheetId="5" r:id="rId8"/>
    <sheet name="7. CFTN" sheetId="6" r:id="rId9"/>
    <sheet name="8. TTACB, WET RP, HP" sheetId="7" r:id="rId10"/>
    <sheet name="9. Adjustment (MHSA)" sheetId="10" r:id="rId11"/>
    <sheet name="10. Adjustment (FFP)" sheetId="14" r:id="rId12"/>
    <sheet name="11. Comments" sheetId="18" r:id="rId13"/>
  </sheets>
  <definedNames>
    <definedName name="Adjustment_MHSA_Component">#REF!</definedName>
    <definedName name="Adjustment_MHSA_FY">#REF!</definedName>
    <definedName name="Adjustment_Reason">#REF!</definedName>
    <definedName name="CFTN_Project_Type">#REF!</definedName>
    <definedName name="Cost_Report_Stage">#REF!</definedName>
    <definedName name="County">#REF!</definedName>
    <definedName name="County_Population">#REF!</definedName>
    <definedName name="CSS_Service_Category">#REF!</definedName>
    <definedName name="Info_County_Code">#REF!</definedName>
    <definedName name="Info_Population">#REF!</definedName>
    <definedName name="INN_Expenditure_Type">#REF!</definedName>
    <definedName name="PEI_Combined_Standalone">#REF!</definedName>
    <definedName name="PEI_Program_Type">#REF!</definedName>
    <definedName name="_xlnm.Print_Area" localSheetId="2">'1. Information'!$C$4:$J$15</definedName>
    <definedName name="_xlnm.Print_Area" localSheetId="11">'10. Adjustment (FFP)'!$B$6:$I$52</definedName>
    <definedName name="_xlnm.Print_Area" localSheetId="3">'2. Component Summary'!$B$1:$N$103</definedName>
    <definedName name="_xlnm.Print_Area" localSheetId="4">'3. CSS'!$B$7:$V$83</definedName>
    <definedName name="_xlnm.Print_Area" localSheetId="5">'4. PEI'!$B$6:$AA$66</definedName>
    <definedName name="_xlnm.Print_Area" localSheetId="6">'5. INN'!$B$1:$Z$87</definedName>
    <definedName name="_xlnm.Print_Area" localSheetId="7">'6. WET'!$B$6:$X$33</definedName>
    <definedName name="_xlnm.Print_Area" localSheetId="8">'7. CFTN'!$B$6:$X$48</definedName>
    <definedName name="_xlnm.Print_Area" localSheetId="9">'8. TTACB, WET RP, HP'!$B$6:$V$16</definedName>
    <definedName name="_xlnm.Print_Area" localSheetId="10">'9. Adjustment (MHSA)'!$B$6:$G$85</definedName>
    <definedName name="_xlnm.Print_Area" localSheetId="1">Instructions!$A$3:$K$16</definedName>
    <definedName name="_xlnm.Print_Titles" localSheetId="3">'2. Component Summary'!$14:$14</definedName>
    <definedName name="WET_Funding_Category">#REF!</definedName>
  </definedNames>
  <calcPr calcId="191029"/>
</workbook>
</file>

<file path=xl/calcChain.xml><?xml version="1.0" encoding="utf-8"?>
<calcChain xmlns="http://schemas.openxmlformats.org/spreadsheetml/2006/main">
  <c r="D5" i="12" l="1"/>
  <c r="G7" i="14" s="1"/>
  <c r="M60" i="19"/>
  <c r="H60" i="19"/>
  <c r="G60" i="19"/>
  <c r="D60" i="19" s="1"/>
  <c r="N60" i="19" s="1"/>
  <c r="M75" i="19"/>
  <c r="M102" i="19" s="1"/>
  <c r="M30" i="19"/>
  <c r="M33" i="19" s="1"/>
  <c r="M63" i="19"/>
  <c r="L75" i="19"/>
  <c r="K75" i="19"/>
  <c r="J75" i="19"/>
  <c r="I75" i="19"/>
  <c r="H75" i="19"/>
  <c r="G75" i="19"/>
  <c r="F75" i="19"/>
  <c r="N75" i="19" s="1"/>
  <c r="E75" i="19"/>
  <c r="D75" i="19"/>
  <c r="L74" i="19"/>
  <c r="J74" i="19"/>
  <c r="I74" i="19"/>
  <c r="H74" i="19"/>
  <c r="G74" i="19"/>
  <c r="F74" i="19"/>
  <c r="N74" i="19" s="1"/>
  <c r="E74" i="19"/>
  <c r="D74" i="19"/>
  <c r="L73" i="19"/>
  <c r="J73" i="19"/>
  <c r="J100" i="19" s="1"/>
  <c r="I73" i="19"/>
  <c r="H73" i="19"/>
  <c r="G73" i="19"/>
  <c r="F73" i="19"/>
  <c r="N73" i="19" s="1"/>
  <c r="E73" i="19"/>
  <c r="D73" i="19"/>
  <c r="L72" i="19"/>
  <c r="J72" i="19"/>
  <c r="J76" i="19" s="1"/>
  <c r="I72" i="19"/>
  <c r="H72" i="19"/>
  <c r="G72" i="19"/>
  <c r="F72" i="19"/>
  <c r="F76" i="19" s="1"/>
  <c r="E72" i="19"/>
  <c r="D72" i="19"/>
  <c r="J71" i="19"/>
  <c r="I71" i="19"/>
  <c r="I76" i="19" s="1"/>
  <c r="H71" i="19"/>
  <c r="G71" i="19"/>
  <c r="F71" i="19"/>
  <c r="E71" i="19"/>
  <c r="E98" i="19" s="1"/>
  <c r="D71" i="19"/>
  <c r="J70" i="19"/>
  <c r="I70" i="19"/>
  <c r="H70" i="19"/>
  <c r="G70" i="19"/>
  <c r="F70" i="19"/>
  <c r="E70" i="19"/>
  <c r="D70" i="19"/>
  <c r="K69" i="19"/>
  <c r="J69" i="19"/>
  <c r="I69" i="19"/>
  <c r="H69" i="19"/>
  <c r="G69" i="19"/>
  <c r="F69" i="19"/>
  <c r="E69" i="19"/>
  <c r="D69" i="19"/>
  <c r="K68" i="19"/>
  <c r="J68" i="19"/>
  <c r="I68" i="19"/>
  <c r="H68" i="19"/>
  <c r="G68" i="19"/>
  <c r="F68" i="19"/>
  <c r="E68" i="19"/>
  <c r="D68" i="19"/>
  <c r="N68" i="19" s="1"/>
  <c r="K67" i="19"/>
  <c r="J67" i="19"/>
  <c r="I67" i="19"/>
  <c r="H67" i="19"/>
  <c r="G67" i="19"/>
  <c r="F67" i="19"/>
  <c r="E67" i="19"/>
  <c r="D67" i="19"/>
  <c r="N67" i="19" s="1"/>
  <c r="K66" i="19"/>
  <c r="J66" i="19"/>
  <c r="I66" i="19"/>
  <c r="H66" i="19"/>
  <c r="G66" i="19"/>
  <c r="F66" i="19"/>
  <c r="E66" i="19"/>
  <c r="D66" i="19"/>
  <c r="N66" i="19" s="1"/>
  <c r="H65" i="19"/>
  <c r="G65" i="19"/>
  <c r="D65" i="19"/>
  <c r="G64" i="19"/>
  <c r="G76" i="19" s="1"/>
  <c r="D64" i="19"/>
  <c r="C110" i="10"/>
  <c r="C111" i="10"/>
  <c r="C112" i="10"/>
  <c r="C86" i="10"/>
  <c r="C87" i="10"/>
  <c r="C88" i="10"/>
  <c r="C89" i="10"/>
  <c r="C90" i="10"/>
  <c r="C91" i="10"/>
  <c r="C92" i="10"/>
  <c r="C93" i="10"/>
  <c r="C94" i="10"/>
  <c r="C95" i="10"/>
  <c r="C96" i="10"/>
  <c r="C97" i="10"/>
  <c r="C98" i="10"/>
  <c r="C99" i="10"/>
  <c r="C100" i="10"/>
  <c r="C101" i="10"/>
  <c r="C102" i="10"/>
  <c r="C103" i="10"/>
  <c r="C104" i="10"/>
  <c r="C105" i="10"/>
  <c r="C106" i="10"/>
  <c r="C107" i="10"/>
  <c r="C108" i="10"/>
  <c r="C109" i="10"/>
  <c r="C77" i="10"/>
  <c r="C71" i="10"/>
  <c r="C72" i="10"/>
  <c r="C73" i="10"/>
  <c r="C74" i="10"/>
  <c r="C75" i="10"/>
  <c r="C76" i="10"/>
  <c r="C68" i="10"/>
  <c r="C69" i="10"/>
  <c r="C70" i="10"/>
  <c r="C65" i="10"/>
  <c r="C66" i="10"/>
  <c r="C67" i="10"/>
  <c r="C51" i="10"/>
  <c r="C52" i="10"/>
  <c r="C53" i="10"/>
  <c r="C54" i="10"/>
  <c r="C55" i="10"/>
  <c r="C56" i="10"/>
  <c r="C57" i="10"/>
  <c r="C58" i="10"/>
  <c r="C59" i="10"/>
  <c r="C60" i="10"/>
  <c r="C61" i="10"/>
  <c r="C62" i="10"/>
  <c r="C63" i="10"/>
  <c r="C64" i="10"/>
  <c r="C23" i="10"/>
  <c r="C24" i="10"/>
  <c r="C25" i="10"/>
  <c r="C26" i="10"/>
  <c r="C27" i="10"/>
  <c r="C28" i="10"/>
  <c r="C29" i="10"/>
  <c r="C30" i="10"/>
  <c r="C31" i="10"/>
  <c r="C32" i="10"/>
  <c r="C33" i="10"/>
  <c r="C34" i="10"/>
  <c r="C35" i="10"/>
  <c r="C36" i="10"/>
  <c r="C37" i="10"/>
  <c r="C38" i="10"/>
  <c r="C39" i="10"/>
  <c r="C40" i="10"/>
  <c r="C41" i="10"/>
  <c r="C42" i="10"/>
  <c r="D11" i="12"/>
  <c r="D7" i="12"/>
  <c r="G7" i="7"/>
  <c r="G7" i="2"/>
  <c r="G7" i="1"/>
  <c r="D7" i="14"/>
  <c r="D7" i="10"/>
  <c r="D7" i="7"/>
  <c r="D7" i="6"/>
  <c r="D7" i="5"/>
  <c r="D7" i="3"/>
  <c r="D7" i="2"/>
  <c r="C39" i="2"/>
  <c r="D5" i="19"/>
  <c r="C66" i="2"/>
  <c r="C65" i="2"/>
  <c r="C64" i="2"/>
  <c r="C63" i="2"/>
  <c r="C62" i="2"/>
  <c r="C61" i="2"/>
  <c r="C60" i="2"/>
  <c r="C59" i="2"/>
  <c r="C58" i="2"/>
  <c r="C57" i="2"/>
  <c r="C56" i="2"/>
  <c r="C55" i="2"/>
  <c r="C54" i="2"/>
  <c r="C53" i="2"/>
  <c r="C52" i="2"/>
  <c r="C51" i="2"/>
  <c r="C50" i="2"/>
  <c r="C49" i="2"/>
  <c r="C48" i="2"/>
  <c r="C47" i="2"/>
  <c r="C46" i="2"/>
  <c r="C45" i="2"/>
  <c r="C44" i="2"/>
  <c r="C43" i="2"/>
  <c r="C42" i="2"/>
  <c r="C41" i="2"/>
  <c r="C40" i="2"/>
  <c r="W22" i="6"/>
  <c r="V22" i="6"/>
  <c r="U22" i="6"/>
  <c r="T22" i="6"/>
  <c r="S22" i="6"/>
  <c r="R22" i="6"/>
  <c r="Q22" i="6"/>
  <c r="P22" i="6"/>
  <c r="O22" i="6"/>
  <c r="N22" i="6"/>
  <c r="M22" i="6"/>
  <c r="L22" i="6"/>
  <c r="K22" i="6" s="1"/>
  <c r="W21" i="5"/>
  <c r="V21" i="5"/>
  <c r="U21" i="5"/>
  <c r="T21" i="5"/>
  <c r="S21" i="5"/>
  <c r="R21" i="5"/>
  <c r="Q21" i="5"/>
  <c r="P21" i="5"/>
  <c r="O21" i="5"/>
  <c r="N21" i="5"/>
  <c r="M21" i="5"/>
  <c r="L21" i="5"/>
  <c r="K21" i="5" s="1"/>
  <c r="U21" i="3"/>
  <c r="T21" i="3"/>
  <c r="S21" i="3"/>
  <c r="R21" i="3"/>
  <c r="Q21" i="3"/>
  <c r="P21" i="3"/>
  <c r="O21" i="3"/>
  <c r="N21" i="3"/>
  <c r="K21" i="3" s="1"/>
  <c r="M21" i="3"/>
  <c r="L21" i="3"/>
  <c r="U22" i="2"/>
  <c r="T22" i="2"/>
  <c r="S22" i="2"/>
  <c r="R22" i="2"/>
  <c r="Q22" i="2"/>
  <c r="P22" i="2"/>
  <c r="O22" i="2"/>
  <c r="N22" i="2"/>
  <c r="M22" i="2"/>
  <c r="L22" i="2"/>
  <c r="K22" i="2" s="1"/>
  <c r="M25" i="1"/>
  <c r="L25" i="1"/>
  <c r="U25" i="1"/>
  <c r="T25" i="1"/>
  <c r="S25" i="1"/>
  <c r="R25" i="1"/>
  <c r="Q25" i="1"/>
  <c r="P25" i="1"/>
  <c r="O25" i="1"/>
  <c r="N25" i="1"/>
  <c r="C37" i="2"/>
  <c r="C38" i="2"/>
  <c r="G87" i="19"/>
  <c r="F87" i="19"/>
  <c r="E87" i="19"/>
  <c r="D87" i="19"/>
  <c r="G86" i="19"/>
  <c r="F86" i="19"/>
  <c r="E86" i="19"/>
  <c r="D86" i="19"/>
  <c r="G85" i="19"/>
  <c r="F85" i="19"/>
  <c r="E85" i="19"/>
  <c r="D85" i="19"/>
  <c r="G84" i="19"/>
  <c r="F84" i="19"/>
  <c r="E84" i="19"/>
  <c r="E97" i="19" s="1"/>
  <c r="D84" i="19"/>
  <c r="N84" i="19" s="1"/>
  <c r="G83" i="19"/>
  <c r="F83" i="19"/>
  <c r="E83" i="19"/>
  <c r="D83" i="19"/>
  <c r="G82" i="19"/>
  <c r="F82" i="19"/>
  <c r="E82" i="19"/>
  <c r="D82" i="19"/>
  <c r="G81" i="19"/>
  <c r="F81" i="19"/>
  <c r="E81" i="19"/>
  <c r="D81" i="19"/>
  <c r="G80" i="19"/>
  <c r="F80" i="19"/>
  <c r="E80" i="19"/>
  <c r="D80" i="19"/>
  <c r="G79" i="19"/>
  <c r="F79" i="19"/>
  <c r="E79" i="19"/>
  <c r="D79" i="19"/>
  <c r="N79" i="19" s="1"/>
  <c r="G78" i="19"/>
  <c r="G88" i="19" s="1"/>
  <c r="F78" i="19"/>
  <c r="E78" i="19"/>
  <c r="D78" i="19"/>
  <c r="D88" i="19" s="1"/>
  <c r="N88" i="19" s="1"/>
  <c r="M59" i="19"/>
  <c r="H59" i="19"/>
  <c r="G59" i="19"/>
  <c r="M58" i="19"/>
  <c r="H58" i="19"/>
  <c r="G58" i="19"/>
  <c r="M57" i="19"/>
  <c r="H57" i="19"/>
  <c r="H61" i="19" s="1"/>
  <c r="G57" i="19"/>
  <c r="L53" i="19"/>
  <c r="K53" i="19"/>
  <c r="J53" i="19"/>
  <c r="I53" i="19"/>
  <c r="L52" i="19"/>
  <c r="K52" i="19"/>
  <c r="J52" i="19"/>
  <c r="I52" i="19"/>
  <c r="L51" i="19"/>
  <c r="K51" i="19"/>
  <c r="J51" i="19"/>
  <c r="I51" i="19"/>
  <c r="L50" i="19"/>
  <c r="K50" i="19"/>
  <c r="K54" i="19" s="1"/>
  <c r="J50" i="19"/>
  <c r="J54" i="19" s="1"/>
  <c r="I50" i="19"/>
  <c r="I54" i="19" s="1"/>
  <c r="L47" i="19"/>
  <c r="K47" i="19"/>
  <c r="K102" i="19" s="1"/>
  <c r="J47" i="19"/>
  <c r="I47" i="19"/>
  <c r="I102" i="19" s="1"/>
  <c r="L46" i="19"/>
  <c r="L101" i="19" s="1"/>
  <c r="J46" i="19"/>
  <c r="J101" i="19" s="1"/>
  <c r="L45" i="19"/>
  <c r="L100" i="19" s="1"/>
  <c r="J45" i="19"/>
  <c r="L44" i="19"/>
  <c r="L48" i="19" s="1"/>
  <c r="J44" i="19"/>
  <c r="J43" i="19"/>
  <c r="J42" i="19"/>
  <c r="J97" i="19" s="1"/>
  <c r="K41" i="19"/>
  <c r="K96" i="19" s="1"/>
  <c r="J41" i="19"/>
  <c r="J96" i="19" s="1"/>
  <c r="I41" i="19"/>
  <c r="I96" i="19"/>
  <c r="K40" i="19"/>
  <c r="K95" i="19" s="1"/>
  <c r="J40" i="19"/>
  <c r="I40" i="19"/>
  <c r="K39" i="19"/>
  <c r="J39" i="19"/>
  <c r="J94" i="19" s="1"/>
  <c r="I39" i="19"/>
  <c r="I94" i="19" s="1"/>
  <c r="K38" i="19"/>
  <c r="J38" i="19"/>
  <c r="I38" i="19"/>
  <c r="L33" i="19"/>
  <c r="K33" i="19"/>
  <c r="J33" i="19"/>
  <c r="I33" i="19"/>
  <c r="H33" i="19"/>
  <c r="G33" i="19"/>
  <c r="F33" i="19"/>
  <c r="E33" i="19"/>
  <c r="D33" i="19"/>
  <c r="N32" i="19"/>
  <c r="N31" i="19"/>
  <c r="M28" i="19"/>
  <c r="L28" i="19"/>
  <c r="K28" i="19"/>
  <c r="J28" i="19"/>
  <c r="I28" i="19"/>
  <c r="H28" i="19"/>
  <c r="G28" i="19"/>
  <c r="F28" i="19"/>
  <c r="E28" i="19"/>
  <c r="D28" i="19"/>
  <c r="N27" i="19"/>
  <c r="N26" i="19"/>
  <c r="N25" i="19"/>
  <c r="N24" i="19"/>
  <c r="N23" i="19"/>
  <c r="N22" i="19"/>
  <c r="N21" i="19"/>
  <c r="N20" i="19"/>
  <c r="N19" i="19"/>
  <c r="N18" i="19"/>
  <c r="N17" i="19"/>
  <c r="N16" i="19"/>
  <c r="M61" i="19"/>
  <c r="G61" i="19"/>
  <c r="N63" i="19"/>
  <c r="K94" i="19"/>
  <c r="I95" i="19"/>
  <c r="K76" i="19"/>
  <c r="J102" i="19"/>
  <c r="L102" i="19"/>
  <c r="L76" i="19"/>
  <c r="J95" i="19"/>
  <c r="E93" i="19"/>
  <c r="E95" i="19"/>
  <c r="N86" i="19"/>
  <c r="M76" i="19"/>
  <c r="N85" i="19"/>
  <c r="E88" i="19"/>
  <c r="L54" i="19"/>
  <c r="F88" i="19"/>
  <c r="N65" i="19"/>
  <c r="J98" i="19"/>
  <c r="K93" i="19"/>
  <c r="E94" i="19"/>
  <c r="P86" i="3"/>
  <c r="K86" i="3" s="1"/>
  <c r="P85" i="3"/>
  <c r="K85" i="3"/>
  <c r="P84" i="3"/>
  <c r="K84" i="3" s="1"/>
  <c r="P82" i="3"/>
  <c r="P81" i="3"/>
  <c r="K81" i="3"/>
  <c r="P80" i="3"/>
  <c r="K80" i="3" s="1"/>
  <c r="P78" i="3"/>
  <c r="K78" i="3" s="1"/>
  <c r="P77" i="3"/>
  <c r="K77" i="3" s="1"/>
  <c r="P76" i="3"/>
  <c r="K76" i="3" s="1"/>
  <c r="P74" i="3"/>
  <c r="K74" i="3" s="1"/>
  <c r="P73" i="3"/>
  <c r="K73" i="3" s="1"/>
  <c r="P72" i="3"/>
  <c r="K72" i="3" s="1"/>
  <c r="P70" i="3"/>
  <c r="K70" i="3" s="1"/>
  <c r="P69" i="3"/>
  <c r="K69" i="3" s="1"/>
  <c r="P68" i="3"/>
  <c r="K68" i="3"/>
  <c r="P66" i="3"/>
  <c r="K66" i="3" s="1"/>
  <c r="P65" i="3"/>
  <c r="P64" i="3"/>
  <c r="K64" i="3" s="1"/>
  <c r="P62" i="3"/>
  <c r="K62" i="3" s="1"/>
  <c r="P61" i="3"/>
  <c r="P60" i="3"/>
  <c r="K60" i="3" s="1"/>
  <c r="P58" i="3"/>
  <c r="K58" i="3" s="1"/>
  <c r="P57" i="3"/>
  <c r="K57" i="3" s="1"/>
  <c r="P56" i="3"/>
  <c r="K56" i="3" s="1"/>
  <c r="P54" i="3"/>
  <c r="K54" i="3" s="1"/>
  <c r="P53" i="3"/>
  <c r="K53" i="3" s="1"/>
  <c r="P52" i="3"/>
  <c r="P50" i="3"/>
  <c r="P49" i="3"/>
  <c r="K49" i="3" s="1"/>
  <c r="P48" i="3"/>
  <c r="K48" i="3" s="1"/>
  <c r="P46" i="3"/>
  <c r="K46" i="3" s="1"/>
  <c r="P45" i="3"/>
  <c r="K45" i="3" s="1"/>
  <c r="P44" i="3"/>
  <c r="P42" i="3"/>
  <c r="P41" i="3"/>
  <c r="K41" i="3" s="1"/>
  <c r="P40" i="3"/>
  <c r="K40" i="3" s="1"/>
  <c r="P38" i="3"/>
  <c r="K38" i="3" s="1"/>
  <c r="P37" i="3"/>
  <c r="K37" i="3"/>
  <c r="P36" i="3"/>
  <c r="K36" i="3" s="1"/>
  <c r="P34" i="3"/>
  <c r="P33" i="3"/>
  <c r="K33" i="3"/>
  <c r="P32" i="3"/>
  <c r="K32" i="3" s="1"/>
  <c r="P30" i="3"/>
  <c r="K30" i="3" s="1"/>
  <c r="P29" i="3"/>
  <c r="Z87" i="3"/>
  <c r="Y87" i="3"/>
  <c r="X87" i="3"/>
  <c r="W87" i="3"/>
  <c r="V87" i="3"/>
  <c r="U87" i="3"/>
  <c r="T87" i="3"/>
  <c r="S87" i="3"/>
  <c r="R87" i="3"/>
  <c r="P87" i="3" s="1"/>
  <c r="Q87" i="3"/>
  <c r="Z83" i="3"/>
  <c r="Y83" i="3"/>
  <c r="X83" i="3"/>
  <c r="W83" i="3"/>
  <c r="V83" i="3"/>
  <c r="U83" i="3"/>
  <c r="T83" i="3"/>
  <c r="S83" i="3"/>
  <c r="R83" i="3"/>
  <c r="Q83" i="3"/>
  <c r="Z79" i="3"/>
  <c r="Y79" i="3"/>
  <c r="X79" i="3"/>
  <c r="W79" i="3"/>
  <c r="V79" i="3"/>
  <c r="U79" i="3"/>
  <c r="T79" i="3"/>
  <c r="S79" i="3"/>
  <c r="R79" i="3"/>
  <c r="Q79" i="3"/>
  <c r="Z75" i="3"/>
  <c r="Y75" i="3"/>
  <c r="X75" i="3"/>
  <c r="W75" i="3"/>
  <c r="V75" i="3"/>
  <c r="U75" i="3"/>
  <c r="T75" i="3"/>
  <c r="S75" i="3"/>
  <c r="R75" i="3"/>
  <c r="Q75" i="3"/>
  <c r="Z71" i="3"/>
  <c r="Y71" i="3"/>
  <c r="X71" i="3"/>
  <c r="W71" i="3"/>
  <c r="V71" i="3"/>
  <c r="U71" i="3"/>
  <c r="T71" i="3"/>
  <c r="S71" i="3"/>
  <c r="R71" i="3"/>
  <c r="P71" i="3" s="1"/>
  <c r="Q71" i="3"/>
  <c r="Z67" i="3"/>
  <c r="Y67" i="3"/>
  <c r="X67" i="3"/>
  <c r="W67" i="3"/>
  <c r="V67" i="3"/>
  <c r="U67" i="3"/>
  <c r="T67" i="3"/>
  <c r="S67" i="3"/>
  <c r="R67" i="3"/>
  <c r="Q67" i="3"/>
  <c r="Z63" i="3"/>
  <c r="Y63" i="3"/>
  <c r="X63" i="3"/>
  <c r="W63" i="3"/>
  <c r="V63" i="3"/>
  <c r="U63" i="3"/>
  <c r="T63" i="3"/>
  <c r="S63" i="3"/>
  <c r="R63" i="3"/>
  <c r="Q63" i="3"/>
  <c r="Z59" i="3"/>
  <c r="Y59" i="3"/>
  <c r="X59" i="3"/>
  <c r="W59" i="3"/>
  <c r="V59" i="3"/>
  <c r="U59" i="3"/>
  <c r="T59" i="3"/>
  <c r="S59" i="3"/>
  <c r="R59" i="3"/>
  <c r="Q59" i="3"/>
  <c r="Z55" i="3"/>
  <c r="Y55" i="3"/>
  <c r="X55" i="3"/>
  <c r="W55" i="3"/>
  <c r="V55" i="3"/>
  <c r="U55" i="3"/>
  <c r="T55" i="3"/>
  <c r="S55" i="3"/>
  <c r="R55" i="3"/>
  <c r="Q55" i="3"/>
  <c r="Z51" i="3"/>
  <c r="Y51" i="3"/>
  <c r="X51" i="3"/>
  <c r="W51" i="3"/>
  <c r="V51" i="3"/>
  <c r="U51" i="3"/>
  <c r="T51" i="3"/>
  <c r="P51" i="3" s="1"/>
  <c r="S51" i="3"/>
  <c r="R51" i="3"/>
  <c r="Q51" i="3"/>
  <c r="Z47" i="3"/>
  <c r="Y47" i="3"/>
  <c r="X47" i="3"/>
  <c r="W47" i="3"/>
  <c r="V47" i="3"/>
  <c r="U47" i="3"/>
  <c r="T47" i="3"/>
  <c r="S47" i="3"/>
  <c r="R47" i="3"/>
  <c r="Q47" i="3"/>
  <c r="Z43" i="3"/>
  <c r="Y43" i="3"/>
  <c r="X43" i="3"/>
  <c r="W43" i="3"/>
  <c r="V43" i="3"/>
  <c r="U43" i="3"/>
  <c r="T43" i="3"/>
  <c r="S43" i="3"/>
  <c r="R43" i="3"/>
  <c r="Q43" i="3"/>
  <c r="Z39" i="3"/>
  <c r="Y39" i="3"/>
  <c r="X39" i="3"/>
  <c r="W39" i="3"/>
  <c r="V39" i="3"/>
  <c r="U39" i="3"/>
  <c r="T39" i="3"/>
  <c r="S39" i="3"/>
  <c r="R39" i="3"/>
  <c r="Q39" i="3"/>
  <c r="Z35" i="3"/>
  <c r="Y35" i="3"/>
  <c r="X35" i="3"/>
  <c r="W35" i="3"/>
  <c r="V35" i="3"/>
  <c r="U35" i="3"/>
  <c r="T35" i="3"/>
  <c r="S35" i="3"/>
  <c r="R35" i="3"/>
  <c r="Q35" i="3"/>
  <c r="O87" i="3"/>
  <c r="N87" i="3"/>
  <c r="M87" i="3"/>
  <c r="L87" i="3"/>
  <c r="O83" i="3"/>
  <c r="N83" i="3"/>
  <c r="M83" i="3"/>
  <c r="L83" i="3"/>
  <c r="O79" i="3"/>
  <c r="N79" i="3"/>
  <c r="M79" i="3"/>
  <c r="L79" i="3"/>
  <c r="O75" i="3"/>
  <c r="N75" i="3"/>
  <c r="M75" i="3"/>
  <c r="L75" i="3"/>
  <c r="O71" i="3"/>
  <c r="N71" i="3"/>
  <c r="M71" i="3"/>
  <c r="L71" i="3"/>
  <c r="O67" i="3"/>
  <c r="N67" i="3"/>
  <c r="M67" i="3"/>
  <c r="L67" i="3"/>
  <c r="O63" i="3"/>
  <c r="N63" i="3"/>
  <c r="M63" i="3"/>
  <c r="L63" i="3"/>
  <c r="O59" i="3"/>
  <c r="N59" i="3"/>
  <c r="M59" i="3"/>
  <c r="L59" i="3"/>
  <c r="O55" i="3"/>
  <c r="N55" i="3"/>
  <c r="M55" i="3"/>
  <c r="L55" i="3"/>
  <c r="O51" i="3"/>
  <c r="K51" i="3" s="1"/>
  <c r="N51" i="3"/>
  <c r="M51" i="3"/>
  <c r="L51" i="3"/>
  <c r="O47" i="3"/>
  <c r="N47" i="3"/>
  <c r="M47" i="3"/>
  <c r="L47" i="3"/>
  <c r="O43" i="3"/>
  <c r="N43" i="3"/>
  <c r="M43" i="3"/>
  <c r="L43" i="3"/>
  <c r="O39" i="3"/>
  <c r="N39" i="3"/>
  <c r="M39" i="3"/>
  <c r="L39" i="3"/>
  <c r="O35" i="3"/>
  <c r="N35" i="3"/>
  <c r="M35" i="3"/>
  <c r="L35" i="3"/>
  <c r="I31" i="3"/>
  <c r="I29" i="3"/>
  <c r="I30" i="3" s="1"/>
  <c r="H31" i="3"/>
  <c r="H30" i="3"/>
  <c r="H29" i="3"/>
  <c r="G31" i="3"/>
  <c r="G30" i="3"/>
  <c r="G29" i="3"/>
  <c r="F31" i="3"/>
  <c r="F30" i="3"/>
  <c r="F29" i="3"/>
  <c r="E31" i="3"/>
  <c r="E30" i="3"/>
  <c r="E29" i="3"/>
  <c r="D31" i="3"/>
  <c r="D30" i="3"/>
  <c r="D29" i="3"/>
  <c r="Z31" i="3"/>
  <c r="Y31" i="3"/>
  <c r="X31" i="3"/>
  <c r="W31" i="3"/>
  <c r="V31" i="3"/>
  <c r="U31" i="3"/>
  <c r="T31" i="3"/>
  <c r="S31" i="3"/>
  <c r="R31" i="3"/>
  <c r="Q31" i="3"/>
  <c r="O31" i="3"/>
  <c r="N31" i="3"/>
  <c r="M31" i="3"/>
  <c r="L31" i="3"/>
  <c r="K82" i="3"/>
  <c r="K65" i="3"/>
  <c r="K61" i="3"/>
  <c r="K52" i="3"/>
  <c r="K50" i="3"/>
  <c r="K44" i="3"/>
  <c r="K42" i="3"/>
  <c r="K34" i="3"/>
  <c r="K29" i="3"/>
  <c r="J87" i="3"/>
  <c r="I87" i="3"/>
  <c r="H87" i="3"/>
  <c r="G87" i="3"/>
  <c r="F87" i="3"/>
  <c r="E87" i="3"/>
  <c r="D87" i="3"/>
  <c r="J86" i="3"/>
  <c r="I86" i="3"/>
  <c r="H86" i="3"/>
  <c r="G86" i="3"/>
  <c r="F86" i="3"/>
  <c r="E86" i="3"/>
  <c r="D86" i="3"/>
  <c r="J85" i="3"/>
  <c r="I85" i="3"/>
  <c r="H85" i="3"/>
  <c r="G85" i="3"/>
  <c r="F85" i="3"/>
  <c r="E85" i="3"/>
  <c r="D85" i="3"/>
  <c r="J84" i="3"/>
  <c r="C84" i="3"/>
  <c r="C85" i="3"/>
  <c r="J83" i="3"/>
  <c r="I83" i="3"/>
  <c r="H83" i="3"/>
  <c r="G83" i="3"/>
  <c r="F83" i="3"/>
  <c r="E83" i="3"/>
  <c r="D83" i="3"/>
  <c r="J82" i="3"/>
  <c r="I82" i="3"/>
  <c r="H82" i="3"/>
  <c r="G82" i="3"/>
  <c r="F82" i="3"/>
  <c r="E82" i="3"/>
  <c r="D82" i="3"/>
  <c r="J81" i="3"/>
  <c r="I81" i="3"/>
  <c r="H81" i="3"/>
  <c r="G81" i="3"/>
  <c r="F81" i="3"/>
  <c r="E81" i="3"/>
  <c r="D81" i="3"/>
  <c r="J80" i="3"/>
  <c r="C80" i="3"/>
  <c r="C83" i="3"/>
  <c r="J79" i="3"/>
  <c r="I79" i="3"/>
  <c r="H79" i="3"/>
  <c r="G79" i="3"/>
  <c r="F79" i="3"/>
  <c r="E79" i="3"/>
  <c r="D79" i="3"/>
  <c r="J78" i="3"/>
  <c r="I78" i="3"/>
  <c r="H78" i="3"/>
  <c r="G78" i="3"/>
  <c r="F78" i="3"/>
  <c r="E78" i="3"/>
  <c r="D78" i="3"/>
  <c r="J77" i="3"/>
  <c r="I77" i="3"/>
  <c r="H77" i="3"/>
  <c r="G77" i="3"/>
  <c r="F77" i="3"/>
  <c r="E77" i="3"/>
  <c r="D77" i="3"/>
  <c r="J76" i="3"/>
  <c r="C76" i="3"/>
  <c r="C79" i="3"/>
  <c r="J75" i="3"/>
  <c r="I75" i="3"/>
  <c r="H75" i="3"/>
  <c r="G75" i="3"/>
  <c r="F75" i="3"/>
  <c r="E75" i="3"/>
  <c r="D75" i="3"/>
  <c r="J74" i="3"/>
  <c r="I74" i="3"/>
  <c r="H74" i="3"/>
  <c r="G74" i="3"/>
  <c r="F74" i="3"/>
  <c r="E74" i="3"/>
  <c r="D74" i="3"/>
  <c r="J73" i="3"/>
  <c r="I73" i="3"/>
  <c r="H73" i="3"/>
  <c r="G73" i="3"/>
  <c r="F73" i="3"/>
  <c r="E73" i="3"/>
  <c r="D73" i="3"/>
  <c r="J72" i="3"/>
  <c r="C72" i="3"/>
  <c r="C75" i="3"/>
  <c r="J71" i="3"/>
  <c r="I71" i="3"/>
  <c r="H71" i="3"/>
  <c r="G71" i="3"/>
  <c r="F71" i="3"/>
  <c r="E71" i="3"/>
  <c r="D71" i="3"/>
  <c r="J70" i="3"/>
  <c r="I70" i="3"/>
  <c r="H70" i="3"/>
  <c r="G70" i="3"/>
  <c r="F70" i="3"/>
  <c r="E70" i="3"/>
  <c r="D70" i="3"/>
  <c r="J69" i="3"/>
  <c r="I69" i="3"/>
  <c r="H69" i="3"/>
  <c r="G69" i="3"/>
  <c r="F69" i="3"/>
  <c r="E69" i="3"/>
  <c r="D69" i="3"/>
  <c r="J68" i="3"/>
  <c r="C68" i="3"/>
  <c r="C69" i="3"/>
  <c r="J67" i="3"/>
  <c r="I67" i="3"/>
  <c r="H67" i="3"/>
  <c r="G67" i="3"/>
  <c r="F67" i="3"/>
  <c r="E67" i="3"/>
  <c r="D67" i="3"/>
  <c r="J66" i="3"/>
  <c r="I66" i="3"/>
  <c r="H66" i="3"/>
  <c r="G66" i="3"/>
  <c r="F66" i="3"/>
  <c r="E66" i="3"/>
  <c r="D66" i="3"/>
  <c r="J65" i="3"/>
  <c r="I65" i="3"/>
  <c r="H65" i="3"/>
  <c r="G65" i="3"/>
  <c r="F65" i="3"/>
  <c r="E65" i="3"/>
  <c r="D65" i="3"/>
  <c r="J64" i="3"/>
  <c r="C64" i="3"/>
  <c r="C67" i="3"/>
  <c r="J63" i="3"/>
  <c r="I63" i="3"/>
  <c r="H63" i="3"/>
  <c r="G63" i="3"/>
  <c r="F63" i="3"/>
  <c r="E63" i="3"/>
  <c r="D63" i="3"/>
  <c r="J62" i="3"/>
  <c r="I62" i="3"/>
  <c r="H62" i="3"/>
  <c r="G62" i="3"/>
  <c r="F62" i="3"/>
  <c r="E62" i="3"/>
  <c r="D62" i="3"/>
  <c r="J61" i="3"/>
  <c r="I61" i="3"/>
  <c r="H61" i="3"/>
  <c r="G61" i="3"/>
  <c r="F61" i="3"/>
  <c r="E61" i="3"/>
  <c r="D61" i="3"/>
  <c r="J60" i="3"/>
  <c r="C60" i="3"/>
  <c r="C63" i="3"/>
  <c r="J59" i="3"/>
  <c r="I59" i="3"/>
  <c r="H59" i="3"/>
  <c r="G59" i="3"/>
  <c r="F59" i="3"/>
  <c r="E59" i="3"/>
  <c r="D59" i="3"/>
  <c r="J58" i="3"/>
  <c r="I58" i="3"/>
  <c r="H58" i="3"/>
  <c r="G58" i="3"/>
  <c r="F58" i="3"/>
  <c r="E58" i="3"/>
  <c r="D58" i="3"/>
  <c r="J57" i="3"/>
  <c r="I57" i="3"/>
  <c r="H57" i="3"/>
  <c r="G57" i="3"/>
  <c r="F57" i="3"/>
  <c r="E57" i="3"/>
  <c r="D57" i="3"/>
  <c r="J56" i="3"/>
  <c r="C56" i="3"/>
  <c r="C57" i="3"/>
  <c r="J55" i="3"/>
  <c r="I55" i="3"/>
  <c r="H55" i="3"/>
  <c r="G55" i="3"/>
  <c r="F55" i="3"/>
  <c r="E55" i="3"/>
  <c r="D55" i="3"/>
  <c r="J54" i="3"/>
  <c r="I54" i="3"/>
  <c r="H54" i="3"/>
  <c r="G54" i="3"/>
  <c r="F54" i="3"/>
  <c r="E54" i="3"/>
  <c r="D54" i="3"/>
  <c r="J53" i="3"/>
  <c r="I53" i="3"/>
  <c r="H53" i="3"/>
  <c r="G53" i="3"/>
  <c r="F53" i="3"/>
  <c r="E53" i="3"/>
  <c r="D53" i="3"/>
  <c r="J52" i="3"/>
  <c r="C52" i="3"/>
  <c r="C54" i="3"/>
  <c r="J51" i="3"/>
  <c r="I51" i="3"/>
  <c r="H51" i="3"/>
  <c r="G51" i="3"/>
  <c r="F51" i="3"/>
  <c r="E51" i="3"/>
  <c r="D51" i="3"/>
  <c r="J50" i="3"/>
  <c r="I50" i="3"/>
  <c r="H50" i="3"/>
  <c r="G50" i="3"/>
  <c r="F50" i="3"/>
  <c r="E50" i="3"/>
  <c r="D50" i="3"/>
  <c r="J49" i="3"/>
  <c r="I49" i="3"/>
  <c r="H49" i="3"/>
  <c r="G49" i="3"/>
  <c r="F49" i="3"/>
  <c r="E49" i="3"/>
  <c r="D49" i="3"/>
  <c r="J48" i="3"/>
  <c r="C48" i="3"/>
  <c r="C49" i="3"/>
  <c r="J47" i="3"/>
  <c r="I47" i="3"/>
  <c r="H47" i="3"/>
  <c r="G47" i="3"/>
  <c r="F47" i="3"/>
  <c r="E47" i="3"/>
  <c r="D47" i="3"/>
  <c r="J46" i="3"/>
  <c r="I46" i="3"/>
  <c r="H46" i="3"/>
  <c r="G46" i="3"/>
  <c r="F46" i="3"/>
  <c r="E46" i="3"/>
  <c r="D46" i="3"/>
  <c r="J45" i="3"/>
  <c r="I45" i="3"/>
  <c r="H45" i="3"/>
  <c r="G45" i="3"/>
  <c r="F45" i="3"/>
  <c r="E45" i="3"/>
  <c r="D45" i="3"/>
  <c r="J44" i="3"/>
  <c r="C44" i="3"/>
  <c r="C46" i="3"/>
  <c r="J43" i="3"/>
  <c r="I43" i="3"/>
  <c r="H43" i="3"/>
  <c r="G43" i="3"/>
  <c r="F43" i="3"/>
  <c r="E43" i="3"/>
  <c r="D43" i="3"/>
  <c r="J42" i="3"/>
  <c r="I42" i="3"/>
  <c r="H42" i="3"/>
  <c r="G42" i="3"/>
  <c r="F42" i="3"/>
  <c r="E42" i="3"/>
  <c r="D42" i="3"/>
  <c r="J41" i="3"/>
  <c r="I41" i="3"/>
  <c r="H41" i="3"/>
  <c r="G41" i="3"/>
  <c r="F41" i="3"/>
  <c r="E41" i="3"/>
  <c r="D41" i="3"/>
  <c r="J40" i="3"/>
  <c r="C40" i="3"/>
  <c r="C43" i="3"/>
  <c r="J39" i="3"/>
  <c r="I39" i="3"/>
  <c r="H39" i="3"/>
  <c r="G39" i="3"/>
  <c r="F39" i="3"/>
  <c r="E39" i="3"/>
  <c r="D39" i="3"/>
  <c r="J38" i="3"/>
  <c r="I38" i="3"/>
  <c r="H38" i="3"/>
  <c r="G38" i="3"/>
  <c r="F38" i="3"/>
  <c r="E38" i="3"/>
  <c r="D38" i="3"/>
  <c r="J37" i="3"/>
  <c r="I37" i="3"/>
  <c r="H37" i="3"/>
  <c r="G37" i="3"/>
  <c r="F37" i="3"/>
  <c r="E37" i="3"/>
  <c r="D37" i="3"/>
  <c r="J36" i="3"/>
  <c r="C36" i="3"/>
  <c r="C39" i="3" s="1"/>
  <c r="C37" i="3"/>
  <c r="I35" i="3"/>
  <c r="I34" i="3"/>
  <c r="I33" i="3"/>
  <c r="H35" i="3"/>
  <c r="H34" i="3"/>
  <c r="H33" i="3"/>
  <c r="G35" i="3"/>
  <c r="G34" i="3"/>
  <c r="G33" i="3"/>
  <c r="F35" i="3"/>
  <c r="F34" i="3"/>
  <c r="F33" i="3"/>
  <c r="E35" i="3"/>
  <c r="E34" i="3"/>
  <c r="E33" i="3"/>
  <c r="D35" i="3"/>
  <c r="D34" i="3"/>
  <c r="D33" i="3"/>
  <c r="J34" i="3"/>
  <c r="J33" i="3"/>
  <c r="G18" i="3" s="1"/>
  <c r="C32" i="3"/>
  <c r="P59" i="3"/>
  <c r="C87" i="3"/>
  <c r="C86" i="3"/>
  <c r="C81" i="3"/>
  <c r="C82" i="3"/>
  <c r="C77" i="3"/>
  <c r="C78" i="3"/>
  <c r="C73" i="3"/>
  <c r="C74" i="3"/>
  <c r="C65" i="3"/>
  <c r="C66" i="3"/>
  <c r="C61" i="3"/>
  <c r="C62" i="3"/>
  <c r="C71" i="3"/>
  <c r="C70" i="3"/>
  <c r="C59" i="3"/>
  <c r="C58" i="3"/>
  <c r="C55" i="3"/>
  <c r="C53" i="3"/>
  <c r="C51" i="3"/>
  <c r="C50" i="3"/>
  <c r="C45" i="3"/>
  <c r="C47" i="3"/>
  <c r="C41" i="3"/>
  <c r="C42" i="3"/>
  <c r="C38" i="3"/>
  <c r="L66" i="2"/>
  <c r="L65" i="2"/>
  <c r="L64" i="2"/>
  <c r="L63" i="2"/>
  <c r="L62" i="2"/>
  <c r="L61" i="2"/>
  <c r="L60" i="2"/>
  <c r="L59" i="2"/>
  <c r="L58" i="2"/>
  <c r="L57" i="2"/>
  <c r="L56" i="2"/>
  <c r="L55" i="2"/>
  <c r="L54" i="2"/>
  <c r="L53" i="2"/>
  <c r="L52" i="2"/>
  <c r="L51" i="2"/>
  <c r="L50" i="2"/>
  <c r="L49" i="2"/>
  <c r="L48" i="2"/>
  <c r="L47" i="2"/>
  <c r="L46" i="2"/>
  <c r="L45" i="2"/>
  <c r="L44" i="2"/>
  <c r="L43" i="2"/>
  <c r="L42" i="2"/>
  <c r="L41" i="2"/>
  <c r="C52" i="14"/>
  <c r="C51" i="14"/>
  <c r="C50" i="14"/>
  <c r="C49" i="14"/>
  <c r="C48" i="14"/>
  <c r="C47" i="14"/>
  <c r="C46" i="14"/>
  <c r="C45" i="14"/>
  <c r="C44" i="14"/>
  <c r="C43" i="14"/>
  <c r="C42" i="14"/>
  <c r="C41" i="14"/>
  <c r="C40" i="14"/>
  <c r="C39" i="14"/>
  <c r="C38" i="14"/>
  <c r="C37" i="14"/>
  <c r="C36" i="14"/>
  <c r="C35" i="14"/>
  <c r="C34" i="14"/>
  <c r="C33" i="14"/>
  <c r="C32" i="14"/>
  <c r="C31" i="14"/>
  <c r="C30" i="14"/>
  <c r="C29" i="14"/>
  <c r="C28" i="14"/>
  <c r="C27" i="14"/>
  <c r="C26" i="14"/>
  <c r="C25" i="14"/>
  <c r="C24" i="14"/>
  <c r="C23" i="14"/>
  <c r="C22" i="14"/>
  <c r="C21" i="14"/>
  <c r="C20" i="14"/>
  <c r="C19" i="14"/>
  <c r="C18" i="14"/>
  <c r="C17" i="14"/>
  <c r="C16" i="14"/>
  <c r="C15" i="14"/>
  <c r="C14" i="14"/>
  <c r="C13" i="14"/>
  <c r="K66" i="2"/>
  <c r="K65" i="2"/>
  <c r="K64" i="2"/>
  <c r="K63" i="2"/>
  <c r="K62" i="2"/>
  <c r="K61" i="2"/>
  <c r="K60" i="2"/>
  <c r="K59" i="2"/>
  <c r="K58" i="2"/>
  <c r="K57" i="2"/>
  <c r="K56" i="2"/>
  <c r="K55" i="2"/>
  <c r="K54" i="2"/>
  <c r="K53" i="2"/>
  <c r="K52" i="2"/>
  <c r="K51" i="2"/>
  <c r="K50" i="2"/>
  <c r="K49" i="2"/>
  <c r="K48" i="2"/>
  <c r="K47" i="2"/>
  <c r="K46" i="2"/>
  <c r="K45" i="2"/>
  <c r="K44" i="2"/>
  <c r="K43" i="2"/>
  <c r="K42" i="2"/>
  <c r="K41" i="2"/>
  <c r="K40" i="2"/>
  <c r="K39" i="2"/>
  <c r="K38" i="2"/>
  <c r="K37" i="2"/>
  <c r="U20" i="2"/>
  <c r="T20" i="2"/>
  <c r="S20" i="2"/>
  <c r="R20" i="2"/>
  <c r="Q20" i="2"/>
  <c r="P20" i="2"/>
  <c r="O20" i="2"/>
  <c r="N20" i="2"/>
  <c r="M20" i="2"/>
  <c r="M21" i="2" s="1"/>
  <c r="E46" i="19" s="1"/>
  <c r="E101" i="19" s="1"/>
  <c r="L20" i="2"/>
  <c r="L21" i="2" s="1"/>
  <c r="E47" i="19" s="1"/>
  <c r="E102" i="19" s="1"/>
  <c r="J20" i="2"/>
  <c r="I20" i="2"/>
  <c r="H20" i="2"/>
  <c r="H21" i="2" s="1"/>
  <c r="E50" i="19" s="1"/>
  <c r="G20" i="2"/>
  <c r="L23" i="1"/>
  <c r="K22" i="1"/>
  <c r="F22" i="1" s="1"/>
  <c r="K21" i="1"/>
  <c r="F21" i="1" s="1"/>
  <c r="K14" i="1"/>
  <c r="F14" i="1" s="1"/>
  <c r="O23" i="1"/>
  <c r="O24" i="1" s="1"/>
  <c r="K18" i="1"/>
  <c r="F18" i="1" s="1"/>
  <c r="K20" i="1"/>
  <c r="F20" i="1" s="1"/>
  <c r="D44" i="19"/>
  <c r="K18" i="5"/>
  <c r="K17" i="5"/>
  <c r="F17" i="5" s="1"/>
  <c r="K17" i="1"/>
  <c r="F17" i="1"/>
  <c r="K19" i="2"/>
  <c r="F19" i="2" s="1"/>
  <c r="K18" i="2"/>
  <c r="F18" i="2" s="1"/>
  <c r="K17" i="2"/>
  <c r="F17" i="2" s="1"/>
  <c r="F18" i="5"/>
  <c r="J16" i="7"/>
  <c r="E16" i="7" s="1"/>
  <c r="J15" i="7"/>
  <c r="E15" i="7" s="1"/>
  <c r="J14" i="7"/>
  <c r="E14" i="7" s="1"/>
  <c r="C48" i="6"/>
  <c r="C47" i="6"/>
  <c r="C46" i="6"/>
  <c r="C45" i="6"/>
  <c r="C44" i="6"/>
  <c r="C43" i="6"/>
  <c r="C42" i="6"/>
  <c r="C41" i="6"/>
  <c r="C40" i="6"/>
  <c r="C39" i="6"/>
  <c r="C38" i="6"/>
  <c r="C37" i="6"/>
  <c r="C36" i="6"/>
  <c r="C35" i="6"/>
  <c r="C34" i="6"/>
  <c r="C33" i="6"/>
  <c r="C32" i="6"/>
  <c r="C31" i="6"/>
  <c r="C33" i="5"/>
  <c r="C32" i="5"/>
  <c r="C31" i="5"/>
  <c r="C30" i="5"/>
  <c r="C29" i="5"/>
  <c r="I20" i="6"/>
  <c r="I21" i="6" s="1"/>
  <c r="H51" i="19" s="1"/>
  <c r="J20" i="6"/>
  <c r="L48" i="6"/>
  <c r="G48" i="6" s="1"/>
  <c r="L47" i="6"/>
  <c r="G47" i="6" s="1"/>
  <c r="L46" i="6"/>
  <c r="L45" i="6"/>
  <c r="L44" i="6"/>
  <c r="G44" i="6" s="1"/>
  <c r="L43" i="6"/>
  <c r="G43" i="6" s="1"/>
  <c r="L42" i="6"/>
  <c r="L41" i="6"/>
  <c r="L40" i="6"/>
  <c r="G40" i="6" s="1"/>
  <c r="L39" i="6"/>
  <c r="L38" i="6"/>
  <c r="L37" i="6"/>
  <c r="L36" i="6"/>
  <c r="G36" i="6" s="1"/>
  <c r="L35" i="6"/>
  <c r="G35" i="6" s="1"/>
  <c r="L34" i="6"/>
  <c r="G34" i="6" s="1"/>
  <c r="L33" i="6"/>
  <c r="L32" i="6"/>
  <c r="L31" i="6"/>
  <c r="G31" i="6" s="1"/>
  <c r="L30" i="6"/>
  <c r="G30" i="6" s="1"/>
  <c r="L29" i="6"/>
  <c r="K19" i="6"/>
  <c r="F19" i="6" s="1"/>
  <c r="K18" i="6"/>
  <c r="F18" i="6" s="1"/>
  <c r="K17" i="6"/>
  <c r="K16" i="6"/>
  <c r="K15" i="6"/>
  <c r="F15" i="6" s="1"/>
  <c r="K14" i="6"/>
  <c r="F14" i="6" s="1"/>
  <c r="R19" i="5"/>
  <c r="R20" i="5" s="1"/>
  <c r="G41" i="19" s="1"/>
  <c r="G96" i="19"/>
  <c r="Q19" i="5"/>
  <c r="Q20" i="5" s="1"/>
  <c r="G42" i="19" s="1"/>
  <c r="G97" i="19" s="1"/>
  <c r="P19" i="5"/>
  <c r="P20" i="5" s="1"/>
  <c r="G43" i="19"/>
  <c r="G98" i="19" s="1"/>
  <c r="O19" i="5"/>
  <c r="O20" i="5" s="1"/>
  <c r="G44" i="19" s="1"/>
  <c r="G99" i="19" s="1"/>
  <c r="N19" i="5"/>
  <c r="N20" i="5" s="1"/>
  <c r="G45" i="19" s="1"/>
  <c r="G100" i="19" s="1"/>
  <c r="L19" i="5"/>
  <c r="L20" i="5" s="1"/>
  <c r="G47" i="19"/>
  <c r="G102" i="19" s="1"/>
  <c r="K16" i="5"/>
  <c r="F16" i="5" s="1"/>
  <c r="K14" i="5"/>
  <c r="K15" i="5"/>
  <c r="L33" i="5"/>
  <c r="L32" i="5"/>
  <c r="G32" i="5" s="1"/>
  <c r="L31" i="5"/>
  <c r="L30" i="5"/>
  <c r="L29" i="5"/>
  <c r="G29" i="5" s="1"/>
  <c r="P28" i="3"/>
  <c r="K15" i="3"/>
  <c r="F15" i="3"/>
  <c r="K14" i="3"/>
  <c r="F14" i="3" s="1"/>
  <c r="J35" i="3"/>
  <c r="J32" i="3"/>
  <c r="S18" i="3"/>
  <c r="K16" i="2"/>
  <c r="K15" i="2"/>
  <c r="K14" i="2"/>
  <c r="F14" i="2" s="1"/>
  <c r="Q66" i="2"/>
  <c r="Q65" i="2"/>
  <c r="Q64" i="2"/>
  <c r="Q63" i="2"/>
  <c r="Q62" i="2"/>
  <c r="Q61" i="2"/>
  <c r="Q60" i="2"/>
  <c r="Q59" i="2"/>
  <c r="Q58" i="2"/>
  <c r="Q57" i="2"/>
  <c r="Q56" i="2"/>
  <c r="Q55" i="2"/>
  <c r="Q54" i="2"/>
  <c r="Q53" i="2"/>
  <c r="Q52" i="2"/>
  <c r="Q51" i="2"/>
  <c r="Q50" i="2"/>
  <c r="Q49" i="2"/>
  <c r="Q48" i="2"/>
  <c r="Q47" i="2"/>
  <c r="Q46" i="2"/>
  <c r="Q45" i="2"/>
  <c r="Q44" i="2"/>
  <c r="Q43" i="2"/>
  <c r="Q42" i="2"/>
  <c r="Q41" i="2"/>
  <c r="Q40" i="2"/>
  <c r="L40" i="2" s="1"/>
  <c r="Q39" i="2"/>
  <c r="L39" i="2" s="1"/>
  <c r="Q38" i="2"/>
  <c r="L38" i="2" s="1"/>
  <c r="Q37" i="2"/>
  <c r="L24" i="1"/>
  <c r="D47" i="19" s="1"/>
  <c r="D102" i="19" s="1"/>
  <c r="G23" i="1"/>
  <c r="H23" i="1"/>
  <c r="H24" i="1" s="1"/>
  <c r="D50" i="19" s="1"/>
  <c r="I23" i="1"/>
  <c r="I24" i="1" s="1"/>
  <c r="D51" i="19" s="1"/>
  <c r="K15" i="1"/>
  <c r="F15" i="1" s="1"/>
  <c r="K16" i="1"/>
  <c r="F16" i="1" s="1"/>
  <c r="K19" i="1"/>
  <c r="F19" i="1" s="1"/>
  <c r="G24" i="1"/>
  <c r="D52" i="19" s="1"/>
  <c r="L40" i="1"/>
  <c r="G40" i="1" s="1"/>
  <c r="L41" i="1"/>
  <c r="G41" i="1" s="1"/>
  <c r="L42" i="1"/>
  <c r="G42" i="1"/>
  <c r="L43" i="1"/>
  <c r="G43" i="1" s="1"/>
  <c r="L44" i="1"/>
  <c r="G44" i="1" s="1"/>
  <c r="L45" i="1"/>
  <c r="G45" i="1" s="1"/>
  <c r="L46" i="1"/>
  <c r="G46" i="1" s="1"/>
  <c r="L47" i="1"/>
  <c r="G47" i="1" s="1"/>
  <c r="L48" i="1"/>
  <c r="G48" i="1" s="1"/>
  <c r="L49" i="1"/>
  <c r="G49" i="1" s="1"/>
  <c r="L50" i="1"/>
  <c r="G50" i="1" s="1"/>
  <c r="L51" i="1"/>
  <c r="G51" i="1" s="1"/>
  <c r="L52" i="1"/>
  <c r="G52" i="1" s="1"/>
  <c r="L53" i="1"/>
  <c r="G53" i="1" s="1"/>
  <c r="L54" i="1"/>
  <c r="G54" i="1" s="1"/>
  <c r="L55" i="1"/>
  <c r="G55" i="1" s="1"/>
  <c r="L56" i="1"/>
  <c r="G56" i="1" s="1"/>
  <c r="L57" i="1"/>
  <c r="G57" i="1" s="1"/>
  <c r="L58" i="1"/>
  <c r="G58" i="1"/>
  <c r="L59" i="1"/>
  <c r="G59" i="1" s="1"/>
  <c r="L60" i="1"/>
  <c r="G60" i="1" s="1"/>
  <c r="L61" i="1"/>
  <c r="G61" i="1" s="1"/>
  <c r="L62" i="1"/>
  <c r="G62" i="1" s="1"/>
  <c r="L63" i="1"/>
  <c r="G63" i="1" s="1"/>
  <c r="L64" i="1"/>
  <c r="G64" i="1" s="1"/>
  <c r="L65" i="1"/>
  <c r="G65" i="1" s="1"/>
  <c r="L66" i="1"/>
  <c r="G66" i="1" s="1"/>
  <c r="L67" i="1"/>
  <c r="G67" i="1" s="1"/>
  <c r="L68" i="1"/>
  <c r="G68" i="1" s="1"/>
  <c r="L69" i="1"/>
  <c r="G69" i="1" s="1"/>
  <c r="L70" i="1"/>
  <c r="G70" i="1" s="1"/>
  <c r="L71" i="1"/>
  <c r="G71" i="1" s="1"/>
  <c r="L72" i="1"/>
  <c r="G72" i="1" s="1"/>
  <c r="L73" i="1"/>
  <c r="G73" i="1" s="1"/>
  <c r="L74" i="1"/>
  <c r="G74" i="1"/>
  <c r="L75" i="1"/>
  <c r="G75" i="1" s="1"/>
  <c r="L76" i="1"/>
  <c r="G76" i="1" s="1"/>
  <c r="L77" i="1"/>
  <c r="G77" i="1" s="1"/>
  <c r="L78" i="1"/>
  <c r="G78" i="1" s="1"/>
  <c r="L79" i="1"/>
  <c r="G79" i="1" s="1"/>
  <c r="L80" i="1"/>
  <c r="G80" i="1" s="1"/>
  <c r="L81" i="1"/>
  <c r="G81" i="1" s="1"/>
  <c r="L82" i="1"/>
  <c r="G82" i="1" s="1"/>
  <c r="L83" i="1"/>
  <c r="G83" i="1" s="1"/>
  <c r="L39" i="1"/>
  <c r="G39" i="1" s="1"/>
  <c r="C16" i="7"/>
  <c r="G45" i="6"/>
  <c r="G38" i="6"/>
  <c r="G37" i="6"/>
  <c r="G33" i="6"/>
  <c r="G32" i="6"/>
  <c r="G29" i="6"/>
  <c r="G46" i="6"/>
  <c r="G41" i="6"/>
  <c r="G39" i="6"/>
  <c r="G20" i="6"/>
  <c r="G21" i="6" s="1"/>
  <c r="H52" i="19" s="1"/>
  <c r="F17" i="6"/>
  <c r="F16" i="6"/>
  <c r="H20" i="6"/>
  <c r="H21" i="6"/>
  <c r="H50" i="19" s="1"/>
  <c r="L20" i="6"/>
  <c r="L21" i="6" s="1"/>
  <c r="H47" i="19" s="1"/>
  <c r="H102" i="19" s="1"/>
  <c r="J21" i="6"/>
  <c r="H53" i="19" s="1"/>
  <c r="M20" i="6"/>
  <c r="M21" i="6" s="1"/>
  <c r="H46" i="19" s="1"/>
  <c r="N20" i="6"/>
  <c r="N21" i="6" s="1"/>
  <c r="H45" i="19" s="1"/>
  <c r="H100" i="19" s="1"/>
  <c r="O20" i="6"/>
  <c r="O21" i="6" s="1"/>
  <c r="H44" i="19" s="1"/>
  <c r="P20" i="6"/>
  <c r="P21" i="6"/>
  <c r="H43" i="19" s="1"/>
  <c r="H98" i="19" s="1"/>
  <c r="Q20" i="6"/>
  <c r="Q21" i="6" s="1"/>
  <c r="H42" i="19" s="1"/>
  <c r="H97" i="19" s="1"/>
  <c r="R20" i="6"/>
  <c r="R21" i="6" s="1"/>
  <c r="H41" i="19" s="1"/>
  <c r="H96" i="19" s="1"/>
  <c r="S20" i="6"/>
  <c r="S21" i="6" s="1"/>
  <c r="H40" i="19" s="1"/>
  <c r="H95" i="19" s="1"/>
  <c r="T20" i="6"/>
  <c r="T21" i="6" s="1"/>
  <c r="H39" i="19" s="1"/>
  <c r="H94" i="19" s="1"/>
  <c r="U20" i="6"/>
  <c r="U21" i="6" s="1"/>
  <c r="H38" i="19" s="1"/>
  <c r="V20" i="6"/>
  <c r="V21" i="6" s="1"/>
  <c r="H37" i="19" s="1"/>
  <c r="H92" i="19" s="1"/>
  <c r="W20" i="6"/>
  <c r="W21" i="6" s="1"/>
  <c r="G42" i="6"/>
  <c r="V19" i="5"/>
  <c r="W19" i="5"/>
  <c r="W20" i="5" s="1"/>
  <c r="G36" i="19" s="1"/>
  <c r="F14" i="5"/>
  <c r="G33" i="5"/>
  <c r="G31" i="5"/>
  <c r="G30" i="5"/>
  <c r="G19" i="5"/>
  <c r="G20" i="5" s="1"/>
  <c r="G52" i="19"/>
  <c r="H19" i="5"/>
  <c r="H20" i="5" s="1"/>
  <c r="G50" i="19" s="1"/>
  <c r="I19" i="5"/>
  <c r="I20" i="5" s="1"/>
  <c r="G51" i="19" s="1"/>
  <c r="J19" i="5"/>
  <c r="M19" i="5"/>
  <c r="M20" i="5" s="1"/>
  <c r="G46" i="19" s="1"/>
  <c r="G101" i="19" s="1"/>
  <c r="S19" i="5"/>
  <c r="S20" i="5" s="1"/>
  <c r="G40" i="19" s="1"/>
  <c r="G95" i="19" s="1"/>
  <c r="T19" i="5"/>
  <c r="U19" i="5"/>
  <c r="H101" i="19"/>
  <c r="V20" i="5"/>
  <c r="G37" i="19" s="1"/>
  <c r="U20" i="5"/>
  <c r="T20" i="5"/>
  <c r="G39" i="19" s="1"/>
  <c r="G94" i="19" s="1"/>
  <c r="J20" i="5"/>
  <c r="G53" i="19"/>
  <c r="G38" i="19"/>
  <c r="G93" i="19" s="1"/>
  <c r="G92" i="19"/>
  <c r="C50" i="10"/>
  <c r="I52" i="14"/>
  <c r="I51" i="14"/>
  <c r="I50" i="14"/>
  <c r="I49" i="14"/>
  <c r="I48" i="14"/>
  <c r="I47" i="14"/>
  <c r="I46" i="14"/>
  <c r="I45" i="14"/>
  <c r="I44" i="14"/>
  <c r="I43" i="14"/>
  <c r="I42" i="14"/>
  <c r="I41" i="14"/>
  <c r="I40" i="14"/>
  <c r="I39" i="14"/>
  <c r="I38" i="14"/>
  <c r="I37" i="14"/>
  <c r="I36" i="14"/>
  <c r="I35" i="14"/>
  <c r="I34" i="14"/>
  <c r="I33" i="14"/>
  <c r="I32" i="14"/>
  <c r="I31" i="14"/>
  <c r="I30" i="14"/>
  <c r="I29" i="14"/>
  <c r="I28" i="14"/>
  <c r="I27" i="14"/>
  <c r="I26" i="14"/>
  <c r="I25" i="14"/>
  <c r="I24" i="14"/>
  <c r="I23" i="14"/>
  <c r="I22" i="14"/>
  <c r="I21" i="14"/>
  <c r="I20" i="14"/>
  <c r="I19" i="14"/>
  <c r="I18" i="14"/>
  <c r="I17" i="14"/>
  <c r="I16" i="14"/>
  <c r="I15" i="14"/>
  <c r="I14" i="14"/>
  <c r="I13" i="14"/>
  <c r="C28" i="3"/>
  <c r="C29" i="3" s="1"/>
  <c r="L16" i="3"/>
  <c r="O17" i="3"/>
  <c r="I16" i="3"/>
  <c r="R17" i="3"/>
  <c r="H17" i="3"/>
  <c r="C16" i="10"/>
  <c r="C17" i="10"/>
  <c r="C18" i="10"/>
  <c r="C19" i="10"/>
  <c r="C20" i="10"/>
  <c r="C21" i="10"/>
  <c r="C22" i="10"/>
  <c r="C43" i="10"/>
  <c r="C85" i="10"/>
  <c r="C84" i="10"/>
  <c r="C83" i="10"/>
  <c r="C49" i="10"/>
  <c r="C48" i="10"/>
  <c r="C14" i="10"/>
  <c r="C13" i="10"/>
  <c r="C15" i="10"/>
  <c r="K28" i="3"/>
  <c r="C49" i="1"/>
  <c r="C50" i="1"/>
  <c r="C51" i="1"/>
  <c r="C52" i="1"/>
  <c r="C53" i="1"/>
  <c r="C54" i="1"/>
  <c r="C55" i="1"/>
  <c r="C56" i="1"/>
  <c r="C57" i="1"/>
  <c r="C58" i="1"/>
  <c r="C59" i="1"/>
  <c r="C60" i="1"/>
  <c r="C61" i="1"/>
  <c r="C62" i="1"/>
  <c r="C63" i="1"/>
  <c r="C64" i="1"/>
  <c r="C65" i="1"/>
  <c r="C66" i="1"/>
  <c r="C67" i="1"/>
  <c r="C68" i="1"/>
  <c r="C69" i="1"/>
  <c r="C70" i="1"/>
  <c r="C71" i="1"/>
  <c r="C72" i="1"/>
  <c r="C73" i="1"/>
  <c r="C74" i="1"/>
  <c r="C75" i="1"/>
  <c r="C76" i="1"/>
  <c r="C77" i="1"/>
  <c r="C78" i="1"/>
  <c r="C79" i="1"/>
  <c r="C80" i="1"/>
  <c r="C81" i="1"/>
  <c r="C82" i="1"/>
  <c r="C83" i="1"/>
  <c r="N21" i="2"/>
  <c r="E45" i="19" s="1"/>
  <c r="E100" i="19"/>
  <c r="O21" i="2"/>
  <c r="E44" i="19" s="1"/>
  <c r="E99" i="19" s="1"/>
  <c r="P21" i="2"/>
  <c r="Q21" i="2"/>
  <c r="R21" i="2"/>
  <c r="S21" i="2"/>
  <c r="T21" i="2"/>
  <c r="U21" i="2"/>
  <c r="I21" i="2"/>
  <c r="E51" i="19" s="1"/>
  <c r="J21" i="2"/>
  <c r="E53" i="19" s="1"/>
  <c r="G21" i="2"/>
  <c r="E52" i="19" s="1"/>
  <c r="F16" i="2"/>
  <c r="F15" i="2"/>
  <c r="U23" i="1"/>
  <c r="U24" i="1" s="1"/>
  <c r="N23" i="1"/>
  <c r="P23" i="1"/>
  <c r="P24" i="1" s="1"/>
  <c r="Q23" i="1"/>
  <c r="Q24" i="1" s="1"/>
  <c r="R23" i="1"/>
  <c r="R24" i="1" s="1"/>
  <c r="S23" i="1"/>
  <c r="T23" i="1"/>
  <c r="M23" i="1"/>
  <c r="M24" i="1" s="1"/>
  <c r="J23" i="1"/>
  <c r="S24" i="1"/>
  <c r="T24" i="1"/>
  <c r="D7" i="1"/>
  <c r="C39" i="1" s="1"/>
  <c r="C14" i="7"/>
  <c r="C15" i="7"/>
  <c r="K25" i="1"/>
  <c r="C45" i="1" l="1"/>
  <c r="U17" i="3"/>
  <c r="T16" i="3"/>
  <c r="R16" i="3"/>
  <c r="Q17" i="3"/>
  <c r="H16" i="3"/>
  <c r="N17" i="3"/>
  <c r="N92" i="19"/>
  <c r="G54" i="19"/>
  <c r="I18" i="3"/>
  <c r="N71" i="19"/>
  <c r="D57" i="19"/>
  <c r="N30" i="19"/>
  <c r="M90" i="19"/>
  <c r="N64" i="19"/>
  <c r="H76" i="19"/>
  <c r="D98" i="19"/>
  <c r="N72" i="19"/>
  <c r="L55" i="19"/>
  <c r="D46" i="19"/>
  <c r="M17" i="3"/>
  <c r="S16" i="3"/>
  <c r="S19" i="3" s="1"/>
  <c r="J17" i="3"/>
  <c r="P17" i="3"/>
  <c r="G17" i="3"/>
  <c r="C30" i="3"/>
  <c r="K19" i="5"/>
  <c r="F19" i="5" s="1"/>
  <c r="D99" i="19"/>
  <c r="D93" i="19"/>
  <c r="D94" i="19"/>
  <c r="L103" i="19"/>
  <c r="N87" i="19"/>
  <c r="N33" i="19"/>
  <c r="I17" i="3"/>
  <c r="I19" i="3" s="1"/>
  <c r="S17" i="3"/>
  <c r="S20" i="3" s="1"/>
  <c r="F40" i="19" s="1"/>
  <c r="Q16" i="3"/>
  <c r="U16" i="3"/>
  <c r="M16" i="3"/>
  <c r="N37" i="19"/>
  <c r="H99" i="19"/>
  <c r="P31" i="3"/>
  <c r="K31" i="3" s="1"/>
  <c r="P55" i="3"/>
  <c r="P63" i="3"/>
  <c r="K63" i="3" s="1"/>
  <c r="P67" i="3"/>
  <c r="K67" i="3" s="1"/>
  <c r="D76" i="19"/>
  <c r="D58" i="19"/>
  <c r="N58" i="19" s="1"/>
  <c r="D59" i="19"/>
  <c r="N59" i="19" s="1"/>
  <c r="N78" i="19"/>
  <c r="N80" i="19"/>
  <c r="N81" i="19"/>
  <c r="N82" i="19"/>
  <c r="G7" i="6"/>
  <c r="J24" i="1"/>
  <c r="D53" i="19" s="1"/>
  <c r="E48" i="19"/>
  <c r="N36" i="19"/>
  <c r="G91" i="19"/>
  <c r="G48" i="19"/>
  <c r="G55" i="19" s="1"/>
  <c r="D54" i="19"/>
  <c r="D101" i="19"/>
  <c r="C47" i="1"/>
  <c r="C43" i="1"/>
  <c r="C42" i="1"/>
  <c r="C48" i="1"/>
  <c r="C41" i="1"/>
  <c r="C44" i="1"/>
  <c r="C46" i="1"/>
  <c r="D9" i="19"/>
  <c r="E9" i="19" s="1"/>
  <c r="E54" i="19"/>
  <c r="H93" i="19"/>
  <c r="H103" i="19" s="1"/>
  <c r="H48" i="19"/>
  <c r="N40" i="19"/>
  <c r="F95" i="19"/>
  <c r="C40" i="1"/>
  <c r="D45" i="19"/>
  <c r="N24" i="1"/>
  <c r="K23" i="1"/>
  <c r="F23" i="1" s="1"/>
  <c r="F24" i="1" s="1"/>
  <c r="K20" i="6"/>
  <c r="H54" i="19"/>
  <c r="M18" i="3"/>
  <c r="T18" i="3"/>
  <c r="R18" i="3"/>
  <c r="R19" i="3" s="1"/>
  <c r="P18" i="3"/>
  <c r="L18" i="3"/>
  <c r="Q18" i="3"/>
  <c r="O18" i="3"/>
  <c r="N16" i="3"/>
  <c r="O16" i="3"/>
  <c r="P16" i="3"/>
  <c r="J16" i="3"/>
  <c r="G16" i="3"/>
  <c r="T17" i="3"/>
  <c r="C35" i="3"/>
  <c r="C33" i="3"/>
  <c r="I93" i="19"/>
  <c r="I103" i="19" s="1"/>
  <c r="I48" i="19"/>
  <c r="I55" i="19" s="1"/>
  <c r="L17" i="3"/>
  <c r="L20" i="3" s="1"/>
  <c r="F47" i="19" s="1"/>
  <c r="N18" i="3"/>
  <c r="J18" i="3"/>
  <c r="F15" i="5"/>
  <c r="K20" i="5"/>
  <c r="C34" i="3"/>
  <c r="N28" i="19"/>
  <c r="J48" i="19"/>
  <c r="J55" i="19" s="1"/>
  <c r="J93" i="19"/>
  <c r="K48" i="19"/>
  <c r="K55" i="19" s="1"/>
  <c r="K103" i="19"/>
  <c r="N57" i="19"/>
  <c r="D61" i="19"/>
  <c r="N61" i="19" s="1"/>
  <c r="C31" i="3"/>
  <c r="F20" i="5"/>
  <c r="F30" i="1"/>
  <c r="K20" i="2"/>
  <c r="L37" i="2"/>
  <c r="H18" i="3"/>
  <c r="U18" i="3"/>
  <c r="U19" i="3" s="1"/>
  <c r="E96" i="19"/>
  <c r="E103" i="19" s="1"/>
  <c r="N83" i="19"/>
  <c r="D96" i="19"/>
  <c r="N69" i="19"/>
  <c r="D97" i="19"/>
  <c r="N70" i="19"/>
  <c r="P39" i="3"/>
  <c r="P47" i="3"/>
  <c r="K47" i="3" s="1"/>
  <c r="P79" i="3"/>
  <c r="K79" i="3" s="1"/>
  <c r="E76" i="19"/>
  <c r="N76" i="19" s="1"/>
  <c r="K39" i="3"/>
  <c r="K43" i="3"/>
  <c r="K55" i="3"/>
  <c r="K59" i="3"/>
  <c r="K71" i="3"/>
  <c r="K87" i="3"/>
  <c r="P35" i="3"/>
  <c r="K35" i="3" s="1"/>
  <c r="P43" i="3"/>
  <c r="P75" i="3"/>
  <c r="K75" i="3" s="1"/>
  <c r="P83" i="3"/>
  <c r="K83" i="3" s="1"/>
  <c r="D95" i="19"/>
  <c r="J99" i="19"/>
  <c r="C30" i="6"/>
  <c r="C29" i="6"/>
  <c r="G7" i="3"/>
  <c r="G7" i="10"/>
  <c r="G5" i="19"/>
  <c r="G7" i="5"/>
  <c r="K16" i="3" l="1"/>
  <c r="M103" i="19"/>
  <c r="N90" i="19"/>
  <c r="H55" i="19"/>
  <c r="I20" i="3"/>
  <c r="F51" i="19" s="1"/>
  <c r="N51" i="19" s="1"/>
  <c r="P20" i="3"/>
  <c r="F43" i="19" s="1"/>
  <c r="P19" i="3"/>
  <c r="Q20" i="3"/>
  <c r="F42" i="19" s="1"/>
  <c r="Q19" i="3"/>
  <c r="E55" i="19"/>
  <c r="J103" i="19"/>
  <c r="T20" i="3"/>
  <c r="F39" i="19" s="1"/>
  <c r="T19" i="3"/>
  <c r="O20" i="3"/>
  <c r="F44" i="19" s="1"/>
  <c r="O19" i="3"/>
  <c r="K18" i="3"/>
  <c r="F18" i="3" s="1"/>
  <c r="M20" i="3"/>
  <c r="F46" i="19" s="1"/>
  <c r="M19" i="3"/>
  <c r="R20" i="3"/>
  <c r="F41" i="19" s="1"/>
  <c r="D100" i="19"/>
  <c r="D48" i="19"/>
  <c r="N91" i="19"/>
  <c r="G103" i="19"/>
  <c r="F20" i="2"/>
  <c r="F21" i="2" s="1"/>
  <c r="K21" i="2"/>
  <c r="F30" i="2" s="1"/>
  <c r="L19" i="3"/>
  <c r="K17" i="3"/>
  <c r="F17" i="3" s="1"/>
  <c r="D10" i="19" s="1"/>
  <c r="G20" i="3"/>
  <c r="F52" i="19" s="1"/>
  <c r="N52" i="19" s="1"/>
  <c r="G19" i="3"/>
  <c r="F16" i="3"/>
  <c r="N20" i="3"/>
  <c r="F45" i="19" s="1"/>
  <c r="F100" i="19" s="1"/>
  <c r="N19" i="3"/>
  <c r="U20" i="3"/>
  <c r="F38" i="19" s="1"/>
  <c r="F102" i="19"/>
  <c r="N102" i="19" s="1"/>
  <c r="N47" i="19"/>
  <c r="N95" i="19"/>
  <c r="H20" i="3"/>
  <c r="F50" i="19" s="1"/>
  <c r="J20" i="3"/>
  <c r="F53" i="19" s="1"/>
  <c r="N53" i="19" s="1"/>
  <c r="J19" i="3"/>
  <c r="K21" i="6"/>
  <c r="F20" i="6"/>
  <c r="F21" i="6" s="1"/>
  <c r="F31" i="1"/>
  <c r="K24" i="1"/>
  <c r="H19" i="3"/>
  <c r="N100" i="19" l="1"/>
  <c r="D103" i="19"/>
  <c r="F32" i="1"/>
  <c r="F48" i="19"/>
  <c r="N48" i="19" s="1"/>
  <c r="N38" i="19"/>
  <c r="F93" i="19"/>
  <c r="F94" i="19"/>
  <c r="N94" i="19" s="1"/>
  <c r="N39" i="19"/>
  <c r="N42" i="19"/>
  <c r="F97" i="19"/>
  <c r="N97" i="19" s="1"/>
  <c r="F96" i="19"/>
  <c r="N96" i="19" s="1"/>
  <c r="N41" i="19"/>
  <c r="N45" i="19"/>
  <c r="F99" i="19"/>
  <c r="N99" i="19" s="1"/>
  <c r="N44" i="19"/>
  <c r="N43" i="19"/>
  <c r="F98" i="19"/>
  <c r="N98" i="19" s="1"/>
  <c r="F54" i="19"/>
  <c r="N54" i="19" s="1"/>
  <c r="N50" i="19"/>
  <c r="F19" i="3"/>
  <c r="F20" i="3"/>
  <c r="D11" i="19"/>
  <c r="K19" i="3"/>
  <c r="D55" i="19"/>
  <c r="F101" i="19"/>
  <c r="N101" i="19" s="1"/>
  <c r="N46" i="19"/>
  <c r="K20" i="3"/>
  <c r="N93" i="19" l="1"/>
  <c r="F103" i="19"/>
  <c r="N103" i="19" s="1"/>
  <c r="F55" i="19"/>
  <c r="N55" i="19" s="1"/>
</calcChain>
</file>

<file path=xl/sharedStrings.xml><?xml version="1.0" encoding="utf-8"?>
<sst xmlns="http://schemas.openxmlformats.org/spreadsheetml/2006/main" count="994" uniqueCount="342">
  <si>
    <t>Fiscal Year 2016-17</t>
  </si>
  <si>
    <t>Prevention and Early Intervention (PEI) Summary</t>
  </si>
  <si>
    <t>County:</t>
  </si>
  <si>
    <t>Date:</t>
  </si>
  <si>
    <t>PEI Annual Planning Costs</t>
  </si>
  <si>
    <t>Prior Program Name</t>
  </si>
  <si>
    <t>Total PEI Program Expenditures</t>
  </si>
  <si>
    <t>Medi-Cal FFP</t>
  </si>
  <si>
    <t>1991 Realignment</t>
  </si>
  <si>
    <t>Behavorial Health Subaccount</t>
  </si>
  <si>
    <t>Other Funding</t>
  </si>
  <si>
    <t>MHSA PEI 2016-17</t>
  </si>
  <si>
    <t>MHSA PEI 2015-16</t>
  </si>
  <si>
    <t>MHSA PEI 2014-15</t>
  </si>
  <si>
    <t>MHSA PEI 2013-14</t>
  </si>
  <si>
    <t>MHSA PEI 2012-13</t>
  </si>
  <si>
    <t>CSS Annual Planning Costs</t>
  </si>
  <si>
    <t>CSS Evaluation Costs</t>
  </si>
  <si>
    <t>Service Category</t>
  </si>
  <si>
    <t>Program Name</t>
  </si>
  <si>
    <t>County</t>
  </si>
  <si>
    <t>Annual Mental Health Services Act Revenue and Expenditure Report for</t>
  </si>
  <si>
    <t>Project Name</t>
  </si>
  <si>
    <t>Project Start Date</t>
  </si>
  <si>
    <t>MHSA INN 2016-17</t>
  </si>
  <si>
    <t>MHSA INN 2015-16</t>
  </si>
  <si>
    <t>MHSA INN 2014-15</t>
  </si>
  <si>
    <t>MHSA INN 2013-14</t>
  </si>
  <si>
    <t>MHSA INN 2012-13</t>
  </si>
  <si>
    <t>MHSA INN 2011-12</t>
  </si>
  <si>
    <t>MHSA INN 2010-11</t>
  </si>
  <si>
    <t>MHSA INN 2009-10</t>
  </si>
  <si>
    <t>BH Subaccount</t>
  </si>
  <si>
    <t>Other</t>
  </si>
  <si>
    <t>WET Annual Planning Costs</t>
  </si>
  <si>
    <t>WET Evaluation Costs</t>
  </si>
  <si>
    <t>Prior Project Name</t>
  </si>
  <si>
    <t>Project Type</t>
  </si>
  <si>
    <t>Total CFTN Expenditures</t>
  </si>
  <si>
    <t>Funding Category</t>
  </si>
  <si>
    <t>Total Annual Planning Costs</t>
  </si>
  <si>
    <t>Total Evaluation Costs</t>
  </si>
  <si>
    <t>Total Administration</t>
  </si>
  <si>
    <t>Local Prudent Reserve</t>
  </si>
  <si>
    <t>FY 2006-07</t>
  </si>
  <si>
    <t>FY 2007-08</t>
  </si>
  <si>
    <t>FY 2008-09</t>
  </si>
  <si>
    <t>FY 2009-10</t>
  </si>
  <si>
    <t>FY 2010-11</t>
  </si>
  <si>
    <t>FY 2011-12</t>
  </si>
  <si>
    <t>FY 2012-13</t>
  </si>
  <si>
    <t>FY 2013-14</t>
  </si>
  <si>
    <t>FY 2014-15</t>
  </si>
  <si>
    <t>FY 2015-16</t>
  </si>
  <si>
    <t>Interest</t>
  </si>
  <si>
    <t>TOTAL</t>
  </si>
  <si>
    <t>Transfer from Local Prudent Reserve</t>
  </si>
  <si>
    <t>FY 2016-17 MHSA Funds</t>
  </si>
  <si>
    <t>FY 2016-17 Interest Earned on local MHS Fund</t>
  </si>
  <si>
    <t>A</t>
  </si>
  <si>
    <t>MHSA Funds</t>
  </si>
  <si>
    <t>B</t>
  </si>
  <si>
    <t>Other Funds</t>
  </si>
  <si>
    <t>Behavioral Health Subaccount</t>
  </si>
  <si>
    <t>FFP Revenue</t>
  </si>
  <si>
    <t>C</t>
  </si>
  <si>
    <t>FY 2016-17</t>
  </si>
  <si>
    <t>FFP Revenue Adjustment</t>
  </si>
  <si>
    <t>CSS</t>
  </si>
  <si>
    <t>PEI</t>
  </si>
  <si>
    <t>INN</t>
  </si>
  <si>
    <t>WET</t>
  </si>
  <si>
    <t>CFTN</t>
  </si>
  <si>
    <t>TTACB</t>
  </si>
  <si>
    <t>WET RP</t>
  </si>
  <si>
    <t>MHSA HP</t>
  </si>
  <si>
    <t>PR</t>
  </si>
  <si>
    <t>Total CSS Program Expenditures</t>
  </si>
  <si>
    <t>Shasta</t>
  </si>
  <si>
    <t>FSP</t>
  </si>
  <si>
    <t>Program Type</t>
  </si>
  <si>
    <t>Workforce Staffing</t>
  </si>
  <si>
    <t>Training/Technical Assistance</t>
  </si>
  <si>
    <t>MH Career Pathways</t>
  </si>
  <si>
    <t>Residency/Internship</t>
  </si>
  <si>
    <t>Financial Incentive</t>
  </si>
  <si>
    <t>Adjustment to FY</t>
  </si>
  <si>
    <t>Component</t>
  </si>
  <si>
    <t>Amount</t>
  </si>
  <si>
    <t>Reason</t>
  </si>
  <si>
    <t>PEI SW</t>
  </si>
  <si>
    <t>WET Regional Partnerships (WET RP)</t>
  </si>
  <si>
    <t>Training, Technical Assistance &amp; Capacity Building (TTACB)</t>
  </si>
  <si>
    <t>MHSA Housing Program (Unencumbered Funds)</t>
  </si>
  <si>
    <t>TN Evaluation Costs</t>
  </si>
  <si>
    <t>CF Evaluation Costs</t>
  </si>
  <si>
    <t>Total Project Expenditures</t>
  </si>
  <si>
    <t>Name of Preparer:</t>
  </si>
  <si>
    <t>County Code:</t>
  </si>
  <si>
    <t>Address:</t>
  </si>
  <si>
    <t>City:</t>
  </si>
  <si>
    <t>Zip:</t>
  </si>
  <si>
    <t>CSS Administration Costs</t>
  </si>
  <si>
    <t>Total WET Program Expenditures</t>
  </si>
  <si>
    <t>Funding Type</t>
  </si>
  <si>
    <t>Expenditures</t>
  </si>
  <si>
    <t>Adjustments Worksheet (MHSA)</t>
  </si>
  <si>
    <t>MHSA PEI 2011-12</t>
  </si>
  <si>
    <t>MHSA PEI 2010-11</t>
  </si>
  <si>
    <t>MHSA PEI 2009-10</t>
  </si>
  <si>
    <t>MHSA PEI 2008-09</t>
  </si>
  <si>
    <t>PEI Evaluation Costs</t>
  </si>
  <si>
    <t>#</t>
  </si>
  <si>
    <t>FSP Percentage of Total CSS Expenditure</t>
  </si>
  <si>
    <t xml:space="preserve">Community Services and Supports (CSS) Summary  </t>
  </si>
  <si>
    <t>Prevention</t>
  </si>
  <si>
    <t>Early Intervention</t>
  </si>
  <si>
    <t>Workforce Education and Training (WET) Summary</t>
  </si>
  <si>
    <t>Capital Facility Technological Needs (CFTN) Summary</t>
  </si>
  <si>
    <t>MHSA CSS 2016-17</t>
  </si>
  <si>
    <t>MHSA CSS 2015-16</t>
  </si>
  <si>
    <t>MHSA CSS 2014-15</t>
  </si>
  <si>
    <t>MHSA CSS 2013-14</t>
  </si>
  <si>
    <t>MHSA CSS 2012-13</t>
  </si>
  <si>
    <t>MHSA CSS 2011-12</t>
  </si>
  <si>
    <t>MHSA CSS 2010-11</t>
  </si>
  <si>
    <t>MHSA CSS 2009-10</t>
  </si>
  <si>
    <t>MHSA CSS 2008-09</t>
  </si>
  <si>
    <t>CSS Program Expenditures</t>
  </si>
  <si>
    <t>Combined/ Standalone</t>
  </si>
  <si>
    <t>Subtotal Percentage for Combined Program</t>
  </si>
  <si>
    <t>Standalone</t>
  </si>
  <si>
    <t>Suicide Prevention</t>
  </si>
  <si>
    <t>PEI Administration Costs</t>
  </si>
  <si>
    <t>PEI Program Expenditures</t>
  </si>
  <si>
    <t>MHSOAC-Authorized MHSA INN Project Budget</t>
  </si>
  <si>
    <t>Amended MHSOAC-Authorized MHSA INN Project Budget</t>
  </si>
  <si>
    <t>Project Expenditure Type</t>
  </si>
  <si>
    <t>Project MHSOAC Approval Date</t>
  </si>
  <si>
    <t>MHSA INN 2008-09</t>
  </si>
  <si>
    <t>Project Administration</t>
  </si>
  <si>
    <t>Project Evaluation</t>
  </si>
  <si>
    <t>INN Annual Planning Costs</t>
  </si>
  <si>
    <t>INN Indirect Administration</t>
  </si>
  <si>
    <t>INN Project Administration</t>
  </si>
  <si>
    <t>INN Project Evaluation</t>
  </si>
  <si>
    <t>INN Project Subtotal</t>
  </si>
  <si>
    <t>MHSA INN Fiscal Year</t>
  </si>
  <si>
    <t>PEI Component</t>
  </si>
  <si>
    <t>CSS Component</t>
  </si>
  <si>
    <t>INN Component</t>
  </si>
  <si>
    <t>WET Program Expenditures</t>
  </si>
  <si>
    <t>CFTN Program Expenditure</t>
  </si>
  <si>
    <t>Capital Facility</t>
  </si>
  <si>
    <t>Date</t>
  </si>
  <si>
    <t>Cost Report Stage</t>
  </si>
  <si>
    <t>Fiscal Year</t>
  </si>
  <si>
    <t>Total Project Expenditures by Type</t>
  </si>
  <si>
    <t>County Population:  Over 200,000? (Yes or No)</t>
  </si>
  <si>
    <t>TN Annual Planning Costs</t>
  </si>
  <si>
    <t>CF Annual Planning Costs</t>
  </si>
  <si>
    <t>Adjustment to</t>
  </si>
  <si>
    <t>Prudent Reserve</t>
  </si>
  <si>
    <t>Total MHSA CFTN</t>
  </si>
  <si>
    <t>MHSA CFTN 2016-17</t>
  </si>
  <si>
    <t>MHSA CFTN 2015-16</t>
  </si>
  <si>
    <t>MHSA CFTN 2014-15</t>
  </si>
  <si>
    <t>MHSA CFTN 2013-14</t>
  </si>
  <si>
    <t>MHSA CFTN 2012-13</t>
  </si>
  <si>
    <t>MHSA CFTN 2011-12</t>
  </si>
  <si>
    <t>MHSA CFTN 2010-11</t>
  </si>
  <si>
    <t>MHSA CFTN 2009-10</t>
  </si>
  <si>
    <t>MHSA CFTN 2008-09</t>
  </si>
  <si>
    <t>MHSA CFTN 2007-08</t>
  </si>
  <si>
    <t>MHSA CFTN 2006-07</t>
  </si>
  <si>
    <t>MHSA WET 2016-17</t>
  </si>
  <si>
    <t>MHSA WET 2015-16</t>
  </si>
  <si>
    <t>MHSA WET 2014-15</t>
  </si>
  <si>
    <t>MHSA WET 2013-14</t>
  </si>
  <si>
    <t>MHSA WET 2012-13</t>
  </si>
  <si>
    <t>MHSA WET 2011-12</t>
  </si>
  <si>
    <t>MHSA WET 2010-11</t>
  </si>
  <si>
    <t>MHSA WET 2009-10</t>
  </si>
  <si>
    <t>MHSA WET 2008-09</t>
  </si>
  <si>
    <t>MHSA WET 2007-08</t>
  </si>
  <si>
    <t>MHSA WET 2006-07</t>
  </si>
  <si>
    <t>Title of Preparer:</t>
  </si>
  <si>
    <t>Preparer Contact Telephone</t>
  </si>
  <si>
    <t>County Code</t>
  </si>
  <si>
    <t>Total MHSA FSP Program Expenditure</t>
  </si>
  <si>
    <t>MHSA Interest</t>
  </si>
  <si>
    <t>Total MHSA CSS (Including MHSA Interest)</t>
  </si>
  <si>
    <t>Total</t>
  </si>
  <si>
    <t>Total MHSA CSS Available for Expenditures</t>
  </si>
  <si>
    <t>Total MHSA PEI Available for Expenditures</t>
  </si>
  <si>
    <t>Program Activity Name (in Combined Program)</t>
  </si>
  <si>
    <t>Preparer Contact Email:</t>
  </si>
  <si>
    <t xml:space="preserve">% of revenue </t>
  </si>
  <si>
    <t>MHSA Other Funds Expenditure Subtotal for FY 2016-17</t>
  </si>
  <si>
    <t>MHSA Net Expenditure Subtotal for FY 2016-17</t>
  </si>
  <si>
    <t>TOTAL MHSA and Other Funding Sources</t>
  </si>
  <si>
    <t>Wet Component</t>
  </si>
  <si>
    <t>Other Fund</t>
  </si>
  <si>
    <t>MHSA Fund</t>
  </si>
  <si>
    <t>PEI Funds Transferred to JPA</t>
  </si>
  <si>
    <t>CSS Funds Transferred to CalHFA</t>
  </si>
  <si>
    <t>Total MHSA INN Available for Expenditures</t>
  </si>
  <si>
    <t>Total MHSA WET Available for Expenditures</t>
  </si>
  <si>
    <t>PEI Expenditure Incurred by JPA</t>
  </si>
  <si>
    <t>CSS Funds Transferred to JPA</t>
  </si>
  <si>
    <t>CSS Expenditure Incurred by JPA</t>
  </si>
  <si>
    <t>Total WET Expenditures (Excluding Transfers to JPA)</t>
  </si>
  <si>
    <t>WET Funds Transferred to JPA</t>
  </si>
  <si>
    <t>WET Expenditure Incurred by JPA</t>
  </si>
  <si>
    <t>Total CSS Expenditures (Excluding Funds Transferred to JPA)</t>
  </si>
  <si>
    <t>Total MHSA CFTN Available for Expenditures</t>
  </si>
  <si>
    <t>CFTN Component</t>
  </si>
  <si>
    <t>TTACB, WET RP, PE SW, HP Component</t>
  </si>
  <si>
    <t>CSS Funds Transferred to PR</t>
  </si>
  <si>
    <t>CSS Funds Transferred to WET</t>
  </si>
  <si>
    <t>CSS Funds Transferred to CFTN</t>
  </si>
  <si>
    <t xml:space="preserve">PEI Funds Expended by CalMHSA for PEI SW </t>
  </si>
  <si>
    <t>Total PEI Expenditures (Excluding Transfers and PEI SW)</t>
  </si>
  <si>
    <t>X</t>
  </si>
  <si>
    <t>Y</t>
  </si>
  <si>
    <t>% of PEI Expended on Clients 25 &amp; Under (Standalone and Program Activities in Combined Program)</t>
  </si>
  <si>
    <t>% of PEI Expended on Clients 25 &amp; Under (Combined Summary and Standalone)</t>
  </si>
  <si>
    <t>Percent Expended for Clients 25 and Under, JPA</t>
  </si>
  <si>
    <t>Percent Expended for Clients 25 and Under, All PEI</t>
  </si>
  <si>
    <t>Back to Summary</t>
  </si>
  <si>
    <t>INN Project Direct</t>
  </si>
  <si>
    <t>Total Innovation Expenditures</t>
  </si>
  <si>
    <t>Total MHSA INN (Including MHSA Interest)</t>
  </si>
  <si>
    <t>Total MHSA INN Funds (Including MHSA Interest)</t>
  </si>
  <si>
    <t>Project Direct</t>
  </si>
  <si>
    <t>WET Administration Costs</t>
  </si>
  <si>
    <t>CF Administration</t>
  </si>
  <si>
    <t>TN Administration</t>
  </si>
  <si>
    <t>(B)</t>
  </si>
  <si>
    <t>(A)</t>
  </si>
  <si>
    <t>Information</t>
  </si>
  <si>
    <t>Beginning Balance</t>
  </si>
  <si>
    <t>Adjustment Amount</t>
  </si>
  <si>
    <t>Ending Balance</t>
  </si>
  <si>
    <t>MHSA PEI Fund Expenditures in Program to Clients 25 and Under (calculated from weighted program values) divided by Total MHSA PEI Expenditures</t>
  </si>
  <si>
    <t>D</t>
  </si>
  <si>
    <t>E</t>
  </si>
  <si>
    <t>F</t>
  </si>
  <si>
    <t>H</t>
  </si>
  <si>
    <t>I</t>
  </si>
  <si>
    <t>J</t>
  </si>
  <si>
    <t>K</t>
  </si>
  <si>
    <t>L</t>
  </si>
  <si>
    <t>M</t>
  </si>
  <si>
    <t>N</t>
  </si>
  <si>
    <t>O</t>
  </si>
  <si>
    <t>G</t>
  </si>
  <si>
    <t>P</t>
  </si>
  <si>
    <t>(A) ÷ (B)</t>
  </si>
  <si>
    <t>Q</t>
  </si>
  <si>
    <t>R</t>
  </si>
  <si>
    <t>S</t>
  </si>
  <si>
    <t>T</t>
  </si>
  <si>
    <t xml:space="preserve">Annual Mental Health Services Act Revenue and Expenditure Report          </t>
  </si>
  <si>
    <t>U</t>
  </si>
  <si>
    <t>V</t>
  </si>
  <si>
    <t>W</t>
  </si>
  <si>
    <t xml:space="preserve">Annual Mental Health Services Act Revenue and Expenditure Report       </t>
  </si>
  <si>
    <t>Innovation (INN) Summary</t>
  </si>
  <si>
    <t xml:space="preserve">Annual Mental Health Services Act Revenue and Expenditure Report             </t>
  </si>
  <si>
    <t xml:space="preserve">Annual Mental Health Services Act Revenue and Expenditure Report     </t>
  </si>
  <si>
    <t>Annual Mental Health Services Act Revenue and Expenditure Report</t>
  </si>
  <si>
    <t>TTACB, WET RP, MHSA HP Summary</t>
  </si>
  <si>
    <t>SECTION 1: Unspent MHSA Funds Available in the MHS Fund From Prior Fiscal Years</t>
  </si>
  <si>
    <t>SECTION 2: MHSA Funds Received in FY 2016-17 (Revenue)</t>
  </si>
  <si>
    <t>SECTION 3: Program Expenditures and Sources of Funding 2016-17</t>
  </si>
  <si>
    <t>SECTION 4: Transfers to Prudent Reserve, WET or CFTN</t>
  </si>
  <si>
    <t>SECTION 5: Adjustments to MHSA Funds</t>
  </si>
  <si>
    <t>SECTION 6: Adjustments to FFP Revenue</t>
  </si>
  <si>
    <t>SECTION 7: Unspent MHSA Fund in the Local MHS Fund Balance (MHSA + FFP)</t>
  </si>
  <si>
    <t>SECTION ONE</t>
  </si>
  <si>
    <t>SECTION TWO</t>
  </si>
  <si>
    <t>SECTION THREE</t>
  </si>
  <si>
    <t>Total MHSA PEI (Including MHSA Interest)</t>
  </si>
  <si>
    <t>Project Subtotal</t>
  </si>
  <si>
    <t>Total MHSA WET (Including Interest)</t>
  </si>
  <si>
    <t>Total MHSA TTACB, WET RP, HP</t>
  </si>
  <si>
    <t xml:space="preserve"> TTACB, WET RP,  HP 2016-17</t>
  </si>
  <si>
    <t xml:space="preserve"> TTACB, WET RP, HP 2015-16</t>
  </si>
  <si>
    <t xml:space="preserve"> TTACB, WET RP, HP 2014-15</t>
  </si>
  <si>
    <t xml:space="preserve"> TTACB, WET RP, HP 2013-14</t>
  </si>
  <si>
    <t xml:space="preserve"> TTACB, WET RP, HP 2012-13</t>
  </si>
  <si>
    <t xml:space="preserve"> TTACB, WET RP, HP 2011-12</t>
  </si>
  <si>
    <t xml:space="preserve"> TTACB, WET RP, HP 2010-11</t>
  </si>
  <si>
    <t xml:space="preserve"> TTACB, WET RP, HP 2009-10</t>
  </si>
  <si>
    <t xml:space="preserve"> TTACB, WET RP, HP 2008-09</t>
  </si>
  <si>
    <t xml:space="preserve"> TTACB, WET RP, HP 2007-08</t>
  </si>
  <si>
    <t xml:space="preserve"> TTACB, WET RP, HP 2006-07</t>
  </si>
  <si>
    <t xml:space="preserve">• For detailed instructions, see Enclosure 2: Instruction Manual for Fiscal Year 2016-17 of the MHSA Annual Revenue and Expenditure Report. </t>
  </si>
  <si>
    <t>• Counties should reflect total (gross) program expenditures for each MHSA program on the MHSA Component Expenditure Worksheets.</t>
  </si>
  <si>
    <t>• Counties must report any expenditure that occurred between July 1, 2016 and June 30, 2017, on the appropriate component worksheet.</t>
  </si>
  <si>
    <t>In general, counties will enter expenditure data in the blue boxes throughout the workbook. Cells shaded gray will require no data entry because it is an excel formula or data is not relevant for that particular cell.</t>
  </si>
  <si>
    <r>
      <rPr>
        <b/>
        <sz val="12"/>
        <color indexed="8"/>
        <rFont val="Arial"/>
        <family val="2"/>
      </rPr>
      <t>Section two</t>
    </r>
    <r>
      <rPr>
        <sz val="12"/>
        <color indexed="8"/>
        <rFont val="Arial"/>
        <family val="2"/>
      </rPr>
      <t xml:space="preserve"> provides the total amount of revenue received and deposited into the local MHS Fund from July 1, 2016 through June 30, 2017.</t>
    </r>
  </si>
  <si>
    <r>
      <rPr>
        <b/>
        <sz val="12"/>
        <color indexed="8"/>
        <rFont val="Arial"/>
        <family val="2"/>
      </rPr>
      <t>Step 1:</t>
    </r>
    <r>
      <rPr>
        <sz val="12"/>
        <color indexed="8"/>
        <rFont val="Arial"/>
        <family val="2"/>
      </rPr>
      <t xml:space="preserve"> Complete the Information worksheet</t>
    </r>
  </si>
  <si>
    <r>
      <rPr>
        <b/>
        <sz val="12"/>
        <color indexed="8"/>
        <rFont val="Arial"/>
        <family val="2"/>
      </rPr>
      <t>Step 2:</t>
    </r>
    <r>
      <rPr>
        <sz val="12"/>
        <color indexed="8"/>
        <rFont val="Arial"/>
        <family val="2"/>
      </rPr>
      <t xml:space="preserve"> Complete section one and two of the Component Summary worksheet</t>
    </r>
  </si>
  <si>
    <r>
      <rPr>
        <b/>
        <sz val="12"/>
        <color indexed="8"/>
        <rFont val="Arial"/>
        <family val="2"/>
      </rPr>
      <t>Step 3:</t>
    </r>
    <r>
      <rPr>
        <sz val="12"/>
        <color indexed="8"/>
        <rFont val="Arial"/>
        <family val="2"/>
      </rPr>
      <t xml:space="preserve"> Complete each component and adjustment worksheet</t>
    </r>
  </si>
  <si>
    <r>
      <rPr>
        <b/>
        <sz val="12"/>
        <color indexed="8"/>
        <rFont val="Arial"/>
        <family val="2"/>
      </rPr>
      <t>Step 4:</t>
    </r>
    <r>
      <rPr>
        <sz val="12"/>
        <color indexed="8"/>
        <rFont val="Arial"/>
        <family val="2"/>
      </rPr>
      <t xml:space="preserve"> Review the Component Summary worksheet</t>
    </r>
  </si>
  <si>
    <r>
      <t xml:space="preserve">Counties should </t>
    </r>
    <r>
      <rPr>
        <b/>
        <sz val="12"/>
        <color indexed="8"/>
        <rFont val="Arial"/>
        <family val="2"/>
      </rPr>
      <t>verify that sections three through seven of the Component Summary</t>
    </r>
    <r>
      <rPr>
        <sz val="12"/>
        <color indexed="8"/>
        <rFont val="Arial"/>
        <family val="2"/>
      </rPr>
      <t xml:space="preserve"> worksheet accurately reflect the expenditures reported on the component and adjustment worksheets.</t>
    </r>
  </si>
  <si>
    <t>For DHCS use only.</t>
  </si>
  <si>
    <t xml:space="preserve">This tab should be hidden when not in use. </t>
  </si>
  <si>
    <t>Total MHSA costs for planning for all components may not exceed 5 percent of the total annual MHSA revenues received by the County</t>
  </si>
  <si>
    <t xml:space="preserve">The information provided on the Information worksheet automatically links to worksheets in the ARER.  This worksheet eliminates the redundant entry of county name, code, and date on worksheets. </t>
  </si>
  <si>
    <t xml:space="preserve">Click button to lock or unlock all sheets for editing. </t>
  </si>
  <si>
    <t>Comments</t>
  </si>
  <si>
    <r>
      <rPr>
        <b/>
        <sz val="12"/>
        <color indexed="8"/>
        <rFont val="Arial"/>
        <family val="2"/>
      </rPr>
      <t>Section one</t>
    </r>
    <r>
      <rPr>
        <sz val="12"/>
        <color indexed="8"/>
        <rFont val="Arial"/>
        <family val="2"/>
      </rPr>
      <t xml:space="preserve"> provides the total amount of unspent funds available from prior fiscal years.  These amounts should match the amount of unspent funds previously reported in the FY 2015-16 ARER, Unspent MHSA Funds in the Local Mental Health Service (MHS) Fund (Section 6).</t>
    </r>
  </si>
  <si>
    <r>
      <rPr>
        <b/>
        <sz val="12"/>
        <color indexed="8"/>
        <rFont val="Arial"/>
        <family val="2"/>
      </rPr>
      <t>Skip section three through seven of the Component Summary worksheet</t>
    </r>
    <r>
      <rPr>
        <sz val="12"/>
        <color indexed="8"/>
        <rFont val="Arial"/>
        <family val="2"/>
      </rPr>
      <t>. These sections are linked to the remaining component worksheets and will auto populate as the county completes each individual worksheet.</t>
    </r>
  </si>
  <si>
    <t xml:space="preserve">• These worksheets are used to report the total expenditures for each MHSA-funded program. Expenditures should be recognized in the period that the fund liability is incurred. (Accounting Standards and Procedures for Counties, State Controller’s Office (SCO), May 2014). </t>
  </si>
  <si>
    <t>Total MHSA CSS Expenditures (Excluding Funds Transferred)</t>
  </si>
  <si>
    <t xml:space="preserve">Component Summary </t>
  </si>
  <si>
    <t>ARER Instructions (v. 01/25/2018)</t>
  </si>
  <si>
    <t>Client Family Operated Services</t>
  </si>
  <si>
    <t>Shasta Triumph and Recovery</t>
  </si>
  <si>
    <t>Rural Health Initiative</t>
  </si>
  <si>
    <t>Older Adult Services</t>
  </si>
  <si>
    <t>Crisis Services</t>
  </si>
  <si>
    <t>Access/Outreach</t>
  </si>
  <si>
    <t>Co-Occurring Primary Care</t>
  </si>
  <si>
    <t>Co-Occurring Substance use</t>
  </si>
  <si>
    <t>Housing</t>
  </si>
  <si>
    <t>Laura's Law</t>
  </si>
  <si>
    <t>Stigma and Discrimination</t>
  </si>
  <si>
    <t>Children and Youth in Stressed Families</t>
  </si>
  <si>
    <t>Inidividuals Experiencing Onset of Serious Psychiatric Illness</t>
  </si>
  <si>
    <t>Mental Health Center</t>
  </si>
  <si>
    <t>Ted Rios</t>
  </si>
  <si>
    <t>Accountant Auditor I</t>
  </si>
  <si>
    <t>Trios@co.shasta.ca.us</t>
  </si>
  <si>
    <t>530-225-5924</t>
  </si>
  <si>
    <t xml:space="preserve">Redding </t>
  </si>
  <si>
    <t>Renovation and Construction</t>
  </si>
  <si>
    <t>1450 Court St, Suite 308A</t>
  </si>
  <si>
    <t>96001-1680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</si>
</sst>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quot;$&quot;#,##0.00"/>
    <numFmt numFmtId="165" formatCode="00"/>
    <numFmt numFmtId="166" formatCode="0#"/>
    <numFmt numFmtId="167" formatCode="[&lt;=9999999]###\-####;\(###\)\ ###\-####"/>
    <numFmt numFmtId="168" formatCode="00000"/>
    <numFmt numFmtId="169" formatCode="0.0%"/>
    <numFmt numFmtId="170" formatCode="&quot;$&quot;#,##0"/>
  </numFmts>
  <fonts count="20" x14ac:knownFonts="1">
    <font>
      <sz val="11"/>
      <color theme="1"/>
      <name val="Calibri"/>
      <family val="2"/>
      <scheme val="minor"/>
    </font>
    <font>
      <sz val="12"/>
      <color indexed="8"/>
      <name val="Arial"/>
      <family val="2"/>
    </font>
    <font>
      <b/>
      <sz val="12"/>
      <name val="Arial"/>
      <family val="2"/>
    </font>
    <font>
      <sz val="10"/>
      <name val="Arial"/>
      <family val="2"/>
    </font>
    <font>
      <b/>
      <sz val="14"/>
      <name val="Arial"/>
      <family val="2"/>
    </font>
    <font>
      <b/>
      <sz val="12"/>
      <color indexed="8"/>
      <name val="Arial"/>
      <family val="2"/>
    </font>
    <font>
      <sz val="12"/>
      <name val="Arial"/>
      <family val="2"/>
    </font>
    <font>
      <b/>
      <u/>
      <sz val="12"/>
      <name val="Arial"/>
      <family val="2"/>
    </font>
    <font>
      <sz val="11"/>
      <color theme="1"/>
      <name val="Calibri"/>
      <family val="2"/>
      <scheme val="minor"/>
    </font>
    <font>
      <sz val="10"/>
      <color theme="1"/>
      <name val="Arial"/>
      <family val="2"/>
    </font>
    <font>
      <u/>
      <sz val="10"/>
      <color theme="10"/>
      <name val="Arial"/>
      <family val="2"/>
    </font>
    <font>
      <sz val="11"/>
      <color theme="1"/>
      <name val="Arial"/>
      <family val="2"/>
    </font>
    <font>
      <sz val="12"/>
      <color theme="1"/>
      <name val="Arial"/>
      <family val="2"/>
    </font>
    <font>
      <b/>
      <sz val="12"/>
      <color theme="1"/>
      <name val="Arial"/>
      <family val="2"/>
    </font>
    <font>
      <b/>
      <sz val="12"/>
      <color theme="0"/>
      <name val="Arial"/>
      <family val="2"/>
    </font>
    <font>
      <sz val="12"/>
      <color theme="0"/>
      <name val="Arial"/>
      <family val="2"/>
    </font>
    <font>
      <b/>
      <sz val="14"/>
      <color theme="1"/>
      <name val="Arial"/>
      <family val="2"/>
    </font>
    <font>
      <u/>
      <sz val="12"/>
      <color theme="10"/>
      <name val="Arial"/>
      <family val="2"/>
    </font>
    <font>
      <b/>
      <u/>
      <sz val="12"/>
      <color theme="1"/>
      <name val="Arial"/>
      <family val="2"/>
    </font>
    <font>
      <sz val="11"/>
      <color rgb="FF000000"/>
      <name val="Calibri"/>
      <family val="2"/>
    </font>
  </fonts>
  <fills count="8">
    <fill>
      <patternFill patternType="none"/>
    </fill>
    <fill>
      <patternFill patternType="gray125"/>
    </fill>
    <fill>
      <patternFill patternType="solid">
        <fgColor indexed="65"/>
        <bgColor indexed="64"/>
      </patternFill>
    </fill>
    <fill>
      <patternFill patternType="solid">
        <fgColor theme="0" tint="-0.14999847407452621"/>
        <bgColor indexed="64"/>
      </patternFill>
    </fill>
    <fill>
      <patternFill patternType="solid">
        <fgColor theme="1"/>
        <bgColor indexed="64"/>
      </patternFill>
    </fill>
    <fill>
      <patternFill patternType="solid">
        <fgColor theme="0"/>
        <bgColor indexed="64"/>
      </patternFill>
    </fill>
    <fill>
      <patternFill patternType="solid">
        <fgColor theme="1" tint="4.9989318521683403E-2"/>
        <bgColor indexed="64"/>
      </patternFill>
    </fill>
    <fill>
      <patternFill patternType="solid">
        <fgColor theme="0" tint="-0.14996795556505021"/>
        <bgColor indexed="64"/>
      </patternFill>
    </fill>
  </fills>
  <borders count="46">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top style="hair">
        <color indexed="64"/>
      </top>
      <bottom/>
      <diagonal/>
    </border>
    <border>
      <left style="thin">
        <color indexed="64"/>
      </left>
      <right style="thin">
        <color indexed="64"/>
      </right>
      <top style="hair">
        <color indexed="64"/>
      </top>
      <bottom/>
      <diagonal/>
    </border>
    <border>
      <left/>
      <right/>
      <top style="thin">
        <color indexed="64"/>
      </top>
      <bottom style="thin">
        <color indexed="64"/>
      </bottom>
      <diagonal/>
    </border>
    <border>
      <left style="thin">
        <color indexed="64"/>
      </left>
      <right style="thin">
        <color indexed="64"/>
      </right>
      <top/>
      <bottom style="hair">
        <color indexed="64"/>
      </bottom>
      <diagonal/>
    </border>
    <border>
      <left/>
      <right style="thin">
        <color indexed="64"/>
      </right>
      <top style="hair">
        <color indexed="64"/>
      </top>
      <bottom style="hair">
        <color indexed="64"/>
      </bottom>
      <diagonal/>
    </border>
    <border>
      <left/>
      <right style="thin">
        <color indexed="64"/>
      </right>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diagonal/>
    </border>
    <border>
      <left/>
      <right style="thin">
        <color indexed="64"/>
      </right>
      <top style="hair">
        <color indexed="64"/>
      </top>
      <bottom/>
      <diagonal/>
    </border>
    <border>
      <left/>
      <right/>
      <top/>
      <bottom style="hair">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diagonal/>
    </border>
    <border>
      <left/>
      <right style="thin">
        <color indexed="64"/>
      </right>
      <top style="thin">
        <color indexed="64"/>
      </top>
      <bottom style="hair">
        <color indexed="64"/>
      </bottom>
      <diagonal/>
    </border>
    <border>
      <left/>
      <right/>
      <top/>
      <bottom style="thick">
        <color indexed="64"/>
      </bottom>
      <diagonal/>
    </border>
    <border>
      <left style="thin">
        <color indexed="64"/>
      </left>
      <right style="double">
        <color indexed="64"/>
      </right>
      <top style="thin">
        <color indexed="64"/>
      </top>
      <bottom style="thin">
        <color indexed="64"/>
      </bottom>
      <diagonal/>
    </border>
    <border>
      <left/>
      <right style="thin">
        <color indexed="64"/>
      </right>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bottom/>
      <diagonal/>
    </border>
    <border>
      <left style="double">
        <color indexed="64"/>
      </left>
      <right style="thin">
        <color indexed="64"/>
      </right>
      <top style="thin">
        <color indexed="64"/>
      </top>
      <bottom style="thin">
        <color indexed="64"/>
      </bottom>
      <diagonal/>
    </border>
    <border>
      <left/>
      <right style="double">
        <color indexed="64"/>
      </right>
      <top style="thin">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double">
        <color indexed="64"/>
      </left>
      <right/>
      <top style="thin">
        <color indexed="64"/>
      </top>
      <bottom style="thin">
        <color indexed="64"/>
      </bottom>
      <diagonal/>
    </border>
    <border>
      <left style="thin">
        <color rgb="FF0000FF"/>
      </left>
      <right style="thin">
        <color rgb="FF0000FF"/>
      </right>
      <top style="thin">
        <color rgb="FF0000FF"/>
      </top>
      <bottom style="thin">
        <color rgb="FF0000FF"/>
      </bottom>
      <diagonal/>
    </border>
    <border>
      <left/>
      <right style="thin">
        <color rgb="FF0000FF"/>
      </right>
      <top style="thin">
        <color rgb="FF0000FF"/>
      </top>
      <bottom style="thin">
        <color rgb="FF0000FF"/>
      </bottom>
      <diagonal/>
    </border>
    <border>
      <left style="thin">
        <color rgb="FF0000FF"/>
      </left>
      <right style="double">
        <color indexed="64"/>
      </right>
      <top style="thin">
        <color rgb="FF0000FF"/>
      </top>
      <bottom style="thin">
        <color rgb="FF0000FF"/>
      </bottom>
      <diagonal/>
    </border>
    <border>
      <left style="thin">
        <color rgb="FF0000FF"/>
      </left>
      <right style="thin">
        <color rgb="FF0000FF"/>
      </right>
      <top style="thin">
        <color rgb="FF0000FF"/>
      </top>
      <bottom/>
      <diagonal/>
    </border>
    <border>
      <left style="thin">
        <color rgb="FF0000FF"/>
      </left>
      <right style="thin">
        <color rgb="FF0000FF"/>
      </right>
      <top style="thin">
        <color rgb="FF0000FF"/>
      </top>
      <bottom style="thin">
        <color indexed="64"/>
      </bottom>
      <diagonal/>
    </border>
    <border>
      <left/>
      <right style="thin">
        <color rgb="FF0000FF"/>
      </right>
      <top style="thin">
        <color rgb="FF0000FF"/>
      </top>
      <bottom style="thin">
        <color indexed="64"/>
      </bottom>
      <diagonal/>
    </border>
    <border>
      <left style="thin">
        <color rgb="FF0000FF"/>
      </left>
      <right style="double">
        <color indexed="64"/>
      </right>
      <top style="thin">
        <color rgb="FF0000FF"/>
      </top>
      <bottom style="thin">
        <color indexed="64"/>
      </bottom>
      <diagonal/>
    </border>
    <border>
      <left style="thin">
        <color rgb="FF0000FF"/>
      </left>
      <right/>
      <top style="thin">
        <color rgb="FF0000FF"/>
      </top>
      <bottom style="thin">
        <color rgb="FF0000FF"/>
      </bottom>
      <diagonal/>
    </border>
    <border>
      <left style="thin">
        <color rgb="FF0000FF"/>
      </left>
      <right style="thin">
        <color rgb="FF0000FF"/>
      </right>
      <top/>
      <bottom style="thin">
        <color rgb="FF0000FF"/>
      </bottom>
      <diagonal/>
    </border>
    <border>
      <left style="thin">
        <color rgb="FF0000FF"/>
      </left>
      <right style="thin">
        <color indexed="64"/>
      </right>
      <top style="thin">
        <color rgb="FF0000FF"/>
      </top>
      <bottom style="thin">
        <color rgb="FF0000FF"/>
      </bottom>
      <diagonal/>
    </border>
    <border>
      <left style="thin">
        <color theme="1"/>
      </left>
      <right style="thin">
        <color theme="1"/>
      </right>
      <top style="thin">
        <color theme="1"/>
      </top>
      <bottom style="thin">
        <color theme="1"/>
      </bottom>
      <diagonal/>
    </border>
  </borders>
  <cellStyleXfs count="7">
    <xf numFmtId="0" fontId="0" fillId="0" borderId="0"/>
    <xf numFmtId="0" fontId="10" fillId="0" borderId="0" applyNumberFormat="0" applyFill="0" applyBorder="0" applyAlignment="0" applyProtection="0"/>
    <xf numFmtId="0" fontId="3" fillId="0" borderId="0"/>
    <xf numFmtId="0" fontId="11" fillId="0" borderId="0"/>
    <xf numFmtId="0" fontId="9" fillId="0" borderId="0"/>
    <xf numFmtId="0" fontId="8" fillId="0" borderId="0"/>
    <xf numFmtId="9" fontId="8" fillId="0" borderId="0" applyFont="0" applyFill="0" applyBorder="0" applyAlignment="0" applyProtection="0"/>
  </cellStyleXfs>
  <cellXfs count="453">
    <xf numFmtId="0" fontId="0" fillId="0" borderId="0" xfId="0"/>
    <xf numFmtId="0" fontId="2" fillId="0" borderId="0" xfId="0" applyFont="1" applyBorder="1" applyAlignment="1" applyProtection="1">
      <alignment vertical="center"/>
    </xf>
    <xf numFmtId="164" fontId="12" fillId="0" borderId="0" xfId="0" applyNumberFormat="1" applyFont="1" applyFill="1" applyBorder="1" applyProtection="1"/>
    <xf numFmtId="0" fontId="12" fillId="0" borderId="0" xfId="0" applyFont="1" applyFill="1" applyProtection="1"/>
    <xf numFmtId="0" fontId="12" fillId="0" borderId="0" xfId="0" applyFont="1" applyFill="1" applyBorder="1" applyProtection="1"/>
    <xf numFmtId="14" fontId="13" fillId="0" borderId="1" xfId="0" applyNumberFormat="1" applyFont="1" applyFill="1" applyBorder="1" applyAlignment="1" applyProtection="1">
      <alignment horizontal="center"/>
    </xf>
    <xf numFmtId="14" fontId="12" fillId="0" borderId="0" xfId="0" applyNumberFormat="1" applyFont="1" applyFill="1" applyBorder="1" applyAlignment="1" applyProtection="1">
      <alignment horizontal="center"/>
    </xf>
    <xf numFmtId="0" fontId="2" fillId="0" borderId="0" xfId="0" applyFont="1" applyFill="1" applyBorder="1" applyAlignment="1" applyProtection="1">
      <alignment horizontal="left"/>
    </xf>
    <xf numFmtId="14" fontId="13" fillId="0" borderId="0" xfId="0" applyNumberFormat="1" applyFont="1" applyFill="1" applyBorder="1" applyAlignment="1" applyProtection="1">
      <alignment horizontal="center"/>
    </xf>
    <xf numFmtId="0" fontId="2" fillId="0" borderId="0" xfId="0" applyFont="1" applyFill="1" applyBorder="1" applyAlignment="1" applyProtection="1">
      <alignment horizontal="left" wrapText="1"/>
    </xf>
    <xf numFmtId="164" fontId="12" fillId="0" borderId="1" xfId="0" applyNumberFormat="1" applyFont="1" applyFill="1" applyBorder="1" applyProtection="1"/>
    <xf numFmtId="9" fontId="12" fillId="3" borderId="1" xfId="6" applyFont="1" applyFill="1" applyBorder="1" applyProtection="1"/>
    <xf numFmtId="0" fontId="12" fillId="0" borderId="0" xfId="0" applyFont="1" applyProtection="1"/>
    <xf numFmtId="0" fontId="12" fillId="0" borderId="1" xfId="0" applyFont="1" applyFill="1" applyBorder="1" applyProtection="1"/>
    <xf numFmtId="0" fontId="2" fillId="0" borderId="0" xfId="0" applyFont="1" applyFill="1" applyBorder="1" applyAlignment="1" applyProtection="1"/>
    <xf numFmtId="0" fontId="2" fillId="0" borderId="0" xfId="0" applyFont="1" applyFill="1" applyBorder="1" applyAlignment="1" applyProtection="1">
      <alignment horizontal="center"/>
    </xf>
    <xf numFmtId="0" fontId="6" fillId="0" borderId="2" xfId="0" applyFont="1" applyFill="1" applyBorder="1" applyAlignment="1" applyProtection="1"/>
    <xf numFmtId="0" fontId="6" fillId="0" borderId="2" xfId="0" applyFont="1" applyFill="1" applyBorder="1" applyAlignment="1" applyProtection="1">
      <alignment horizontal="right"/>
    </xf>
    <xf numFmtId="9" fontId="2" fillId="0" borderId="1" xfId="6" applyFont="1" applyFill="1" applyBorder="1" applyAlignment="1" applyProtection="1">
      <alignment horizontal="center" wrapText="1"/>
    </xf>
    <xf numFmtId="0" fontId="12" fillId="0" borderId="3" xfId="0" applyFont="1" applyFill="1" applyBorder="1" applyProtection="1"/>
    <xf numFmtId="164" fontId="12" fillId="3" borderId="4" xfId="0" applyNumberFormat="1" applyFont="1" applyFill="1" applyBorder="1" applyProtection="1"/>
    <xf numFmtId="164" fontId="12" fillId="0" borderId="4" xfId="0" applyNumberFormat="1" applyFont="1" applyFill="1" applyBorder="1" applyProtection="1"/>
    <xf numFmtId="0" fontId="12" fillId="0" borderId="5" xfId="0" applyFont="1" applyFill="1" applyBorder="1" applyProtection="1"/>
    <xf numFmtId="164" fontId="12" fillId="0" borderId="6" xfId="0" applyNumberFormat="1" applyFont="1" applyFill="1" applyBorder="1" applyProtection="1"/>
    <xf numFmtId="0" fontId="13" fillId="0" borderId="7" xfId="0" applyFont="1" applyFill="1" applyBorder="1" applyProtection="1"/>
    <xf numFmtId="0" fontId="14" fillId="4" borderId="8" xfId="0" applyFont="1" applyFill="1" applyBorder="1" applyProtection="1"/>
    <xf numFmtId="0" fontId="15" fillId="4" borderId="8" xfId="0" applyFont="1" applyFill="1" applyBorder="1" applyProtection="1"/>
    <xf numFmtId="0" fontId="2" fillId="3" borderId="4" xfId="0" applyFont="1" applyFill="1" applyBorder="1" applyProtection="1"/>
    <xf numFmtId="0" fontId="2" fillId="3" borderId="9" xfId="0" applyFont="1" applyFill="1" applyBorder="1" applyProtection="1"/>
    <xf numFmtId="164" fontId="12" fillId="5" borderId="4" xfId="0" applyNumberFormat="1" applyFont="1" applyFill="1" applyBorder="1" applyProtection="1"/>
    <xf numFmtId="164" fontId="12" fillId="3" borderId="6" xfId="0" applyNumberFormat="1" applyFont="1" applyFill="1" applyBorder="1" applyProtection="1"/>
    <xf numFmtId="0" fontId="13" fillId="0" borderId="2" xfId="0" applyFont="1" applyFill="1" applyBorder="1" applyProtection="1"/>
    <xf numFmtId="164" fontId="12" fillId="3" borderId="1" xfId="0" applyNumberFormat="1" applyFont="1" applyFill="1" applyBorder="1" applyProtection="1"/>
    <xf numFmtId="0" fontId="2" fillId="3" borderId="8" xfId="0" applyFont="1" applyFill="1" applyBorder="1" applyProtection="1"/>
    <xf numFmtId="0" fontId="2" fillId="3" borderId="10" xfId="0" applyFont="1" applyFill="1" applyBorder="1" applyProtection="1"/>
    <xf numFmtId="0" fontId="15" fillId="4" borderId="4" xfId="0" applyFont="1" applyFill="1" applyBorder="1" applyProtection="1"/>
    <xf numFmtId="0" fontId="12" fillId="3" borderId="4" xfId="0" applyFont="1" applyFill="1" applyBorder="1" applyProtection="1"/>
    <xf numFmtId="164" fontId="12" fillId="0" borderId="35" xfId="0" applyNumberFormat="1" applyFont="1" applyFill="1" applyBorder="1" applyProtection="1">
      <protection locked="0"/>
    </xf>
    <xf numFmtId="164" fontId="12" fillId="3" borderId="11" xfId="0" applyNumberFormat="1" applyFont="1" applyFill="1" applyBorder="1" applyProtection="1"/>
    <xf numFmtId="164" fontId="12" fillId="3" borderId="3" xfId="0" applyNumberFormat="1" applyFont="1" applyFill="1" applyBorder="1" applyProtection="1"/>
    <xf numFmtId="164" fontId="12" fillId="3" borderId="9" xfId="0" applyNumberFormat="1" applyFont="1" applyFill="1" applyBorder="1" applyProtection="1"/>
    <xf numFmtId="164" fontId="12" fillId="0" borderId="9" xfId="0" applyNumberFormat="1" applyFont="1" applyFill="1" applyBorder="1" applyProtection="1"/>
    <xf numFmtId="164" fontId="12" fillId="3" borderId="12" xfId="0" applyNumberFormat="1" applyFont="1" applyFill="1" applyBorder="1" applyProtection="1"/>
    <xf numFmtId="164" fontId="12" fillId="3" borderId="13" xfId="0" applyNumberFormat="1" applyFont="1" applyFill="1" applyBorder="1" applyProtection="1"/>
    <xf numFmtId="164" fontId="12" fillId="3" borderId="14" xfId="0" applyNumberFormat="1" applyFont="1" applyFill="1" applyBorder="1" applyProtection="1"/>
    <xf numFmtId="164" fontId="12" fillId="3" borderId="10" xfId="0" applyNumberFormat="1" applyFont="1" applyFill="1" applyBorder="1" applyProtection="1"/>
    <xf numFmtId="164" fontId="12" fillId="3" borderId="8" xfId="0" applyNumberFormat="1" applyFont="1" applyFill="1" applyBorder="1" applyProtection="1"/>
    <xf numFmtId="164" fontId="12" fillId="0" borderId="13" xfId="0" applyNumberFormat="1" applyFont="1" applyFill="1" applyBorder="1" applyProtection="1"/>
    <xf numFmtId="0" fontId="15" fillId="4" borderId="15" xfId="0" applyFont="1" applyFill="1" applyBorder="1" applyProtection="1"/>
    <xf numFmtId="164" fontId="12" fillId="0" borderId="16" xfId="0" applyNumberFormat="1" applyFont="1" applyFill="1" applyBorder="1" applyProtection="1"/>
    <xf numFmtId="164" fontId="12" fillId="3" borderId="17" xfId="0" applyNumberFormat="1" applyFont="1" applyFill="1" applyBorder="1" applyProtection="1"/>
    <xf numFmtId="164" fontId="2" fillId="3" borderId="1" xfId="0" applyNumberFormat="1" applyFont="1" applyFill="1" applyBorder="1" applyProtection="1"/>
    <xf numFmtId="164" fontId="13" fillId="3" borderId="1" xfId="0" applyNumberFormat="1" applyFont="1" applyFill="1" applyBorder="1" applyProtection="1"/>
    <xf numFmtId="14" fontId="12" fillId="3" borderId="1" xfId="0" applyNumberFormat="1" applyFont="1" applyFill="1" applyBorder="1" applyAlignment="1" applyProtection="1">
      <alignment horizontal="center"/>
    </xf>
    <xf numFmtId="0" fontId="6" fillId="3" borderId="1" xfId="0" applyFont="1" applyFill="1" applyBorder="1" applyAlignment="1" applyProtection="1">
      <alignment horizontal="center"/>
    </xf>
    <xf numFmtId="10" fontId="2" fillId="3" borderId="18" xfId="6" applyNumberFormat="1" applyFont="1" applyFill="1" applyBorder="1" applyAlignment="1" applyProtection="1">
      <alignment horizontal="center"/>
    </xf>
    <xf numFmtId="0" fontId="12" fillId="0" borderId="1" xfId="0" applyFont="1" applyFill="1" applyBorder="1" applyAlignment="1" applyProtection="1">
      <alignment horizontal="center"/>
    </xf>
    <xf numFmtId="0" fontId="2" fillId="0" borderId="0" xfId="0" applyFont="1" applyFill="1" applyBorder="1" applyAlignment="1" applyProtection="1">
      <alignment wrapText="1"/>
    </xf>
    <xf numFmtId="0" fontId="2" fillId="0" borderId="0" xfId="0" applyFont="1" applyFill="1" applyBorder="1" applyAlignment="1" applyProtection="1">
      <alignment horizontal="center" wrapText="1"/>
    </xf>
    <xf numFmtId="0" fontId="2" fillId="0" borderId="0" xfId="0" applyFont="1" applyFill="1" applyBorder="1" applyAlignment="1" applyProtection="1">
      <alignment vertical="top" wrapText="1"/>
    </xf>
    <xf numFmtId="0" fontId="2" fillId="0" borderId="0" xfId="0" applyFont="1" applyFill="1" applyBorder="1" applyAlignment="1" applyProtection="1">
      <alignment horizontal="center" vertical="top" wrapText="1"/>
    </xf>
    <xf numFmtId="0" fontId="13" fillId="0" borderId="0" xfId="0" applyFont="1" applyFill="1" applyBorder="1" applyProtection="1"/>
    <xf numFmtId="0" fontId="6" fillId="0" borderId="0" xfId="0" applyFont="1" applyFill="1" applyBorder="1" applyAlignment="1" applyProtection="1">
      <alignment horizontal="left"/>
    </xf>
    <xf numFmtId="14" fontId="13" fillId="0" borderId="0" xfId="0" applyNumberFormat="1" applyFont="1" applyFill="1" applyBorder="1" applyAlignment="1" applyProtection="1"/>
    <xf numFmtId="0" fontId="2" fillId="0" borderId="1" xfId="0" applyFont="1" applyFill="1" applyBorder="1" applyAlignment="1" applyProtection="1">
      <alignment horizontal="center" vertical="center" wrapText="1"/>
    </xf>
    <xf numFmtId="164" fontId="6" fillId="3" borderId="1" xfId="0" applyNumberFormat="1" applyFont="1" applyFill="1" applyBorder="1" applyAlignment="1" applyProtection="1"/>
    <xf numFmtId="164" fontId="6" fillId="3" borderId="1" xfId="0" applyNumberFormat="1" applyFont="1" applyFill="1" applyBorder="1" applyAlignment="1" applyProtection="1">
      <alignment horizontal="right" wrapText="1"/>
    </xf>
    <xf numFmtId="164" fontId="6" fillId="3" borderId="1" xfId="0" applyNumberFormat="1" applyFont="1" applyFill="1" applyBorder="1" applyAlignment="1" applyProtection="1">
      <alignment horizontal="right"/>
    </xf>
    <xf numFmtId="0" fontId="2" fillId="0" borderId="1" xfId="0" applyFont="1" applyFill="1" applyBorder="1" applyAlignment="1" applyProtection="1">
      <alignment horizontal="center" vertical="center"/>
    </xf>
    <xf numFmtId="0" fontId="13" fillId="3" borderId="1" xfId="0" applyNumberFormat="1" applyFont="1" applyFill="1" applyBorder="1" applyAlignment="1" applyProtection="1">
      <alignment horizontal="center"/>
    </xf>
    <xf numFmtId="0" fontId="13" fillId="3" borderId="1" xfId="0" applyFont="1" applyFill="1" applyBorder="1" applyProtection="1"/>
    <xf numFmtId="14" fontId="13" fillId="3" borderId="1" xfId="0" applyNumberFormat="1" applyFont="1" applyFill="1" applyBorder="1" applyProtection="1"/>
    <xf numFmtId="0" fontId="6" fillId="0" borderId="1" xfId="0" applyFont="1" applyFill="1" applyBorder="1" applyAlignment="1" applyProtection="1">
      <alignment horizontal="center"/>
    </xf>
    <xf numFmtId="0" fontId="6" fillId="0" borderId="1" xfId="0" applyFont="1" applyFill="1" applyBorder="1" applyAlignment="1" applyProtection="1">
      <alignment horizontal="center" wrapText="1"/>
    </xf>
    <xf numFmtId="0" fontId="13" fillId="0" borderId="0" xfId="0" applyFont="1" applyBorder="1" applyAlignment="1" applyProtection="1"/>
    <xf numFmtId="0" fontId="2" fillId="0" borderId="19" xfId="0" applyFont="1" applyFill="1" applyBorder="1" applyAlignment="1" applyProtection="1">
      <alignment horizontal="center" vertical="center" wrapText="1"/>
    </xf>
    <xf numFmtId="164" fontId="6" fillId="3" borderId="16" xfId="0" applyNumberFormat="1" applyFont="1" applyFill="1" applyBorder="1" applyAlignment="1" applyProtection="1">
      <alignment horizontal="right" wrapText="1"/>
    </xf>
    <xf numFmtId="164" fontId="6" fillId="0" borderId="35" xfId="0" applyNumberFormat="1" applyFont="1" applyFill="1" applyBorder="1" applyAlignment="1" applyProtection="1">
      <alignment horizontal="right" wrapText="1"/>
      <protection locked="0"/>
    </xf>
    <xf numFmtId="164" fontId="6" fillId="3" borderId="7" xfId="0" applyNumberFormat="1" applyFont="1" applyFill="1" applyBorder="1" applyAlignment="1" applyProtection="1">
      <alignment horizontal="right" wrapText="1"/>
    </xf>
    <xf numFmtId="0" fontId="13" fillId="0" borderId="19" xfId="0" applyFont="1" applyFill="1" applyBorder="1" applyAlignment="1" applyProtection="1">
      <alignment horizontal="center" vertical="center" wrapText="1"/>
    </xf>
    <xf numFmtId="9" fontId="2" fillId="0" borderId="19" xfId="6" applyFont="1" applyFill="1" applyBorder="1" applyAlignment="1" applyProtection="1">
      <alignment horizontal="center" vertical="center" wrapText="1"/>
    </xf>
    <xf numFmtId="0" fontId="2" fillId="0" borderId="19" xfId="0" applyFont="1" applyFill="1" applyBorder="1" applyAlignment="1" applyProtection="1">
      <alignment horizontal="center" vertical="center"/>
    </xf>
    <xf numFmtId="0" fontId="13" fillId="3" borderId="19" xfId="0" applyFont="1" applyFill="1" applyBorder="1" applyProtection="1"/>
    <xf numFmtId="14" fontId="13" fillId="3" borderId="19" xfId="0" applyNumberFormat="1" applyFont="1" applyFill="1" applyBorder="1" applyProtection="1"/>
    <xf numFmtId="164" fontId="13" fillId="3" borderId="19" xfId="0" applyNumberFormat="1" applyFont="1" applyFill="1" applyBorder="1" applyProtection="1"/>
    <xf numFmtId="164" fontId="13" fillId="3" borderId="15" xfId="0" applyNumberFormat="1" applyFont="1" applyFill="1" applyBorder="1" applyProtection="1"/>
    <xf numFmtId="164" fontId="13" fillId="3" borderId="16" xfId="0" applyNumberFormat="1" applyFont="1" applyFill="1" applyBorder="1" applyProtection="1"/>
    <xf numFmtId="0" fontId="12" fillId="0" borderId="0" xfId="0" applyFont="1"/>
    <xf numFmtId="14" fontId="6" fillId="3" borderId="1" xfId="0" applyNumberFormat="1" applyFont="1" applyFill="1" applyBorder="1" applyAlignment="1" applyProtection="1">
      <alignment horizontal="center"/>
    </xf>
    <xf numFmtId="0" fontId="6" fillId="3" borderId="1" xfId="0" applyFont="1" applyFill="1" applyBorder="1" applyAlignment="1" applyProtection="1">
      <alignment horizontal="left"/>
    </xf>
    <xf numFmtId="0" fontId="14" fillId="4" borderId="20" xfId="0" applyFont="1" applyFill="1" applyBorder="1" applyAlignment="1" applyProtection="1"/>
    <xf numFmtId="0" fontId="14" fillId="4" borderId="21" xfId="0" applyFont="1" applyFill="1" applyBorder="1" applyAlignment="1" applyProtection="1"/>
    <xf numFmtId="0" fontId="14" fillId="4" borderId="22" xfId="0" applyFont="1" applyFill="1" applyBorder="1" applyAlignment="1" applyProtection="1"/>
    <xf numFmtId="0" fontId="14" fillId="4" borderId="23" xfId="0" applyFont="1" applyFill="1" applyBorder="1" applyAlignment="1" applyProtection="1"/>
    <xf numFmtId="0" fontId="15" fillId="6" borderId="0" xfId="0" applyFont="1" applyFill="1" applyBorder="1" applyAlignment="1" applyProtection="1">
      <alignment horizontal="right"/>
    </xf>
    <xf numFmtId="9" fontId="14" fillId="6" borderId="17" xfId="6" applyFont="1" applyFill="1" applyBorder="1" applyAlignment="1" applyProtection="1">
      <alignment horizontal="center" wrapText="1"/>
    </xf>
    <xf numFmtId="9" fontId="14" fillId="6" borderId="15" xfId="6" applyFont="1" applyFill="1" applyBorder="1" applyAlignment="1" applyProtection="1">
      <alignment horizontal="center" wrapText="1"/>
    </xf>
    <xf numFmtId="0" fontId="12" fillId="0" borderId="17" xfId="0" applyFont="1" applyFill="1" applyBorder="1" applyProtection="1"/>
    <xf numFmtId="0" fontId="12" fillId="0" borderId="0" xfId="0" applyFont="1" applyFill="1" applyAlignment="1" applyProtection="1">
      <alignment horizontal="center"/>
    </xf>
    <xf numFmtId="0" fontId="12" fillId="0" borderId="9" xfId="0" applyFont="1" applyFill="1" applyBorder="1" applyAlignment="1" applyProtection="1">
      <alignment horizontal="center"/>
    </xf>
    <xf numFmtId="0" fontId="12" fillId="0" borderId="13" xfId="0" applyFont="1" applyFill="1" applyBorder="1" applyAlignment="1" applyProtection="1">
      <alignment horizontal="center"/>
    </xf>
    <xf numFmtId="0" fontId="12" fillId="0" borderId="2" xfId="0" applyFont="1" applyFill="1" applyBorder="1" applyAlignment="1" applyProtection="1">
      <alignment horizontal="center"/>
    </xf>
    <xf numFmtId="0" fontId="6" fillId="3" borderId="9" xfId="0" applyFont="1" applyFill="1" applyBorder="1" applyAlignment="1" applyProtection="1">
      <alignment horizontal="center"/>
    </xf>
    <xf numFmtId="0" fontId="12" fillId="3" borderId="0" xfId="0" applyFont="1" applyFill="1" applyAlignment="1" applyProtection="1">
      <alignment horizontal="center"/>
    </xf>
    <xf numFmtId="0" fontId="2" fillId="0" borderId="0" xfId="0" applyFont="1" applyFill="1" applyBorder="1" applyAlignment="1" applyProtection="1">
      <alignment vertical="center"/>
    </xf>
    <xf numFmtId="0" fontId="2" fillId="0" borderId="24" xfId="0" applyFont="1" applyFill="1" applyBorder="1" applyAlignment="1" applyProtection="1">
      <alignment horizontal="center"/>
    </xf>
    <xf numFmtId="0" fontId="2" fillId="0" borderId="24" xfId="0" applyFont="1" applyFill="1" applyBorder="1" applyAlignment="1" applyProtection="1">
      <alignment horizontal="center" wrapText="1"/>
    </xf>
    <xf numFmtId="164" fontId="2" fillId="3" borderId="2" xfId="0" applyNumberFormat="1" applyFont="1" applyFill="1" applyBorder="1" applyProtection="1"/>
    <xf numFmtId="164" fontId="13" fillId="3" borderId="2" xfId="0" applyNumberFormat="1" applyFont="1" applyFill="1" applyBorder="1" applyProtection="1"/>
    <xf numFmtId="164" fontId="2" fillId="3" borderId="25" xfId="0" applyNumberFormat="1" applyFont="1" applyFill="1" applyBorder="1" applyProtection="1"/>
    <xf numFmtId="164" fontId="13" fillId="3" borderId="25" xfId="0" applyNumberFormat="1" applyFont="1" applyFill="1" applyBorder="1" applyProtection="1"/>
    <xf numFmtId="0" fontId="6" fillId="0" borderId="2" xfId="0" applyFont="1" applyFill="1" applyBorder="1" applyAlignment="1" applyProtection="1">
      <alignment horizontal="center" wrapText="1"/>
    </xf>
    <xf numFmtId="0" fontId="2" fillId="0" borderId="22" xfId="0" applyFont="1" applyFill="1" applyBorder="1" applyAlignment="1" applyProtection="1">
      <alignment horizontal="center" vertical="center" wrapText="1"/>
    </xf>
    <xf numFmtId="164" fontId="6" fillId="0" borderId="36" xfId="0" applyNumberFormat="1" applyFont="1" applyFill="1" applyBorder="1" applyAlignment="1" applyProtection="1">
      <alignment horizontal="right" wrapText="1"/>
      <protection locked="0"/>
    </xf>
    <xf numFmtId="164" fontId="6" fillId="3" borderId="26" xfId="0" applyNumberFormat="1" applyFont="1" applyFill="1" applyBorder="1" applyAlignment="1" applyProtection="1">
      <alignment horizontal="right" wrapText="1"/>
    </xf>
    <xf numFmtId="164" fontId="6" fillId="3" borderId="2" xfId="0" applyNumberFormat="1" applyFont="1" applyFill="1" applyBorder="1" applyAlignment="1" applyProtection="1">
      <alignment horizontal="right" wrapText="1"/>
    </xf>
    <xf numFmtId="164" fontId="6" fillId="3" borderId="2" xfId="0" applyNumberFormat="1" applyFont="1" applyFill="1" applyBorder="1" applyAlignment="1" applyProtection="1"/>
    <xf numFmtId="164" fontId="6" fillId="3" borderId="2" xfId="0" applyNumberFormat="1" applyFont="1" applyFill="1" applyBorder="1" applyAlignment="1" applyProtection="1">
      <alignment horizontal="right"/>
    </xf>
    <xf numFmtId="0" fontId="2" fillId="0" borderId="27" xfId="0" applyFont="1" applyFill="1" applyBorder="1" applyAlignment="1" applyProtection="1">
      <alignment horizontal="center" vertical="center" wrapText="1"/>
    </xf>
    <xf numFmtId="164" fontId="6" fillId="0" borderId="37" xfId="0" applyNumberFormat="1" applyFont="1" applyFill="1" applyBorder="1" applyAlignment="1" applyProtection="1">
      <alignment horizontal="right" wrapText="1"/>
      <protection locked="0"/>
    </xf>
    <xf numFmtId="164" fontId="6" fillId="3" borderId="28" xfId="0" applyNumberFormat="1" applyFont="1" applyFill="1" applyBorder="1" applyAlignment="1" applyProtection="1">
      <alignment horizontal="right" wrapText="1"/>
    </xf>
    <xf numFmtId="164" fontId="6" fillId="3" borderId="25" xfId="0" applyNumberFormat="1" applyFont="1" applyFill="1" applyBorder="1" applyAlignment="1" applyProtection="1">
      <alignment horizontal="right" wrapText="1"/>
    </xf>
    <xf numFmtId="164" fontId="6" fillId="3" borderId="25" xfId="0" applyNumberFormat="1" applyFont="1" applyFill="1" applyBorder="1" applyAlignment="1" applyProtection="1"/>
    <xf numFmtId="164" fontId="6" fillId="3" borderId="25" xfId="0" applyNumberFormat="1" applyFont="1" applyFill="1" applyBorder="1" applyAlignment="1" applyProtection="1">
      <alignment horizontal="right"/>
    </xf>
    <xf numFmtId="0" fontId="6" fillId="0" borderId="25" xfId="0" applyFont="1" applyFill="1" applyBorder="1" applyAlignment="1" applyProtection="1">
      <alignment horizontal="center"/>
    </xf>
    <xf numFmtId="0" fontId="2" fillId="0" borderId="25" xfId="0" applyFont="1" applyFill="1" applyBorder="1" applyAlignment="1" applyProtection="1"/>
    <xf numFmtId="0" fontId="2" fillId="0" borderId="25" xfId="0" applyFont="1" applyFill="1" applyBorder="1" applyAlignment="1" applyProtection="1">
      <alignment horizontal="center" vertical="center" wrapText="1"/>
    </xf>
    <xf numFmtId="0" fontId="13" fillId="0" borderId="2" xfId="0" applyFont="1" applyFill="1" applyBorder="1" applyAlignment="1" applyProtection="1">
      <alignment horizontal="center" vertical="center" wrapText="1"/>
    </xf>
    <xf numFmtId="0" fontId="6" fillId="0" borderId="25" xfId="0" applyFont="1" applyFill="1" applyBorder="1" applyAlignment="1" applyProtection="1">
      <alignment horizontal="center" wrapText="1"/>
    </xf>
    <xf numFmtId="9" fontId="2" fillId="0" borderId="22" xfId="6" applyFont="1" applyFill="1" applyBorder="1" applyAlignment="1" applyProtection="1">
      <alignment horizontal="center" vertical="center" wrapText="1"/>
    </xf>
    <xf numFmtId="164" fontId="13" fillId="3" borderId="17" xfId="0" applyNumberFormat="1" applyFont="1" applyFill="1" applyBorder="1" applyProtection="1"/>
    <xf numFmtId="164" fontId="13" fillId="3" borderId="26" xfId="0" applyNumberFormat="1" applyFont="1" applyFill="1" applyBorder="1" applyProtection="1"/>
    <xf numFmtId="0" fontId="13" fillId="0" borderId="27" xfId="0" applyFont="1" applyBorder="1" applyAlignment="1" applyProtection="1"/>
    <xf numFmtId="9" fontId="2" fillId="0" borderId="27" xfId="6" applyFont="1" applyFill="1" applyBorder="1" applyAlignment="1" applyProtection="1">
      <alignment horizontal="center" vertical="center" wrapText="1"/>
    </xf>
    <xf numFmtId="164" fontId="13" fillId="3" borderId="29" xfId="0" applyNumberFormat="1" applyFont="1" applyFill="1" applyBorder="1" applyProtection="1"/>
    <xf numFmtId="164" fontId="13" fillId="3" borderId="28" xfId="0" applyNumberFormat="1" applyFont="1" applyFill="1" applyBorder="1" applyProtection="1"/>
    <xf numFmtId="0" fontId="13" fillId="0" borderId="0" xfId="0" applyFont="1"/>
    <xf numFmtId="0" fontId="4" fillId="0" borderId="0" xfId="0" applyFont="1" applyFill="1" applyBorder="1" applyAlignment="1" applyProtection="1">
      <alignment vertical="center"/>
    </xf>
    <xf numFmtId="0" fontId="16" fillId="0" borderId="0" xfId="0" applyFont="1" applyFill="1" applyProtection="1"/>
    <xf numFmtId="164" fontId="12" fillId="3" borderId="5" xfId="0" applyNumberFormat="1" applyFont="1" applyFill="1" applyBorder="1" applyProtection="1"/>
    <xf numFmtId="0" fontId="2" fillId="0" borderId="24" xfId="0" applyFont="1" applyFill="1" applyBorder="1" applyAlignment="1" applyProtection="1">
      <alignment horizontal="left"/>
    </xf>
    <xf numFmtId="0" fontId="6" fillId="0" borderId="2" xfId="0" applyFont="1" applyFill="1" applyBorder="1" applyAlignment="1" applyProtection="1">
      <alignment horizontal="center"/>
    </xf>
    <xf numFmtId="0" fontId="13" fillId="0" borderId="25" xfId="0" applyFont="1" applyBorder="1" applyAlignment="1" applyProtection="1">
      <alignment horizontal="center" vertical="center"/>
    </xf>
    <xf numFmtId="9" fontId="2" fillId="0" borderId="1" xfId="6" applyFont="1" applyFill="1" applyBorder="1" applyAlignment="1" applyProtection="1">
      <alignment horizontal="center" vertical="center" wrapText="1"/>
    </xf>
    <xf numFmtId="0" fontId="13" fillId="0" borderId="1" xfId="0" applyFont="1" applyFill="1" applyBorder="1" applyAlignment="1" applyProtection="1">
      <alignment horizontal="center" vertical="center" wrapText="1"/>
    </xf>
    <xf numFmtId="164" fontId="2" fillId="0" borderId="0" xfId="0" applyNumberFormat="1" applyFont="1" applyFill="1" applyBorder="1" applyProtection="1"/>
    <xf numFmtId="0" fontId="13" fillId="0" borderId="24" xfId="0" applyFont="1" applyBorder="1" applyProtection="1"/>
    <xf numFmtId="164" fontId="2" fillId="0" borderId="24" xfId="0" applyNumberFormat="1" applyFont="1" applyFill="1" applyBorder="1" applyProtection="1"/>
    <xf numFmtId="0" fontId="13" fillId="0" borderId="0" xfId="0" applyFont="1" applyBorder="1" applyProtection="1"/>
    <xf numFmtId="164" fontId="6" fillId="0" borderId="19" xfId="0" applyNumberFormat="1" applyFont="1" applyFill="1" applyBorder="1" applyAlignment="1" applyProtection="1">
      <alignment horizontal="center"/>
    </xf>
    <xf numFmtId="0" fontId="13" fillId="0" borderId="1" xfId="0" applyFont="1" applyFill="1" applyBorder="1" applyAlignment="1" applyProtection="1">
      <alignment horizontal="left" indent="1"/>
    </xf>
    <xf numFmtId="0" fontId="13" fillId="3" borderId="1" xfId="0" applyFont="1" applyFill="1" applyBorder="1" applyAlignment="1" applyProtection="1">
      <alignment horizontal="left" indent="1"/>
    </xf>
    <xf numFmtId="9" fontId="2" fillId="0" borderId="0" xfId="6" applyFont="1" applyFill="1" applyBorder="1" applyProtection="1"/>
    <xf numFmtId="9" fontId="2" fillId="0" borderId="24" xfId="6" applyFont="1" applyFill="1" applyBorder="1" applyProtection="1"/>
    <xf numFmtId="9" fontId="6" fillId="0" borderId="1" xfId="6" applyFont="1" applyFill="1" applyBorder="1" applyAlignment="1" applyProtection="1">
      <alignment horizontal="center"/>
    </xf>
    <xf numFmtId="0" fontId="2" fillId="0" borderId="18" xfId="6" applyNumberFormat="1" applyFont="1" applyFill="1" applyBorder="1" applyAlignment="1" applyProtection="1">
      <alignment horizontal="center" vertical="center" wrapText="1"/>
    </xf>
    <xf numFmtId="0" fontId="2" fillId="0" borderId="1" xfId="6" applyNumberFormat="1" applyFont="1" applyFill="1" applyBorder="1" applyAlignment="1" applyProtection="1">
      <alignment horizontal="center" vertical="center" wrapText="1"/>
    </xf>
    <xf numFmtId="0" fontId="2" fillId="0" borderId="19" xfId="6" applyNumberFormat="1" applyFont="1" applyFill="1" applyBorder="1" applyAlignment="1" applyProtection="1">
      <alignment horizontal="center" vertical="center" wrapText="1"/>
    </xf>
    <xf numFmtId="0" fontId="2" fillId="0" borderId="25" xfId="6" applyNumberFormat="1" applyFont="1" applyFill="1" applyBorder="1" applyAlignment="1" applyProtection="1">
      <alignment horizontal="center" vertical="center" wrapText="1"/>
    </xf>
    <xf numFmtId="0" fontId="2" fillId="0" borderId="22" xfId="6" applyNumberFormat="1" applyFont="1" applyFill="1" applyBorder="1" applyAlignment="1" applyProtection="1">
      <alignment horizontal="center" vertical="center" wrapText="1"/>
    </xf>
    <xf numFmtId="0" fontId="2" fillId="0" borderId="27" xfId="6" applyNumberFormat="1" applyFont="1" applyFill="1" applyBorder="1" applyAlignment="1" applyProtection="1">
      <alignment horizontal="center" vertical="center" wrapText="1"/>
    </xf>
    <xf numFmtId="0" fontId="2" fillId="0" borderId="2" xfId="6" applyNumberFormat="1" applyFont="1" applyFill="1" applyBorder="1" applyAlignment="1" applyProtection="1">
      <alignment horizontal="center" vertical="center" wrapText="1"/>
    </xf>
    <xf numFmtId="164" fontId="6" fillId="0" borderId="36" xfId="0" applyNumberFormat="1" applyFont="1" applyFill="1" applyBorder="1" applyAlignment="1" applyProtection="1">
      <protection locked="0"/>
    </xf>
    <xf numFmtId="0" fontId="17" fillId="0" borderId="0" xfId="1" applyFont="1" applyBorder="1" applyAlignment="1" applyProtection="1"/>
    <xf numFmtId="0" fontId="17" fillId="0" borderId="0" xfId="1" applyFont="1" applyBorder="1" applyAlignment="1" applyProtection="1">
      <alignment horizontal="center"/>
    </xf>
    <xf numFmtId="0" fontId="2" fillId="0" borderId="0" xfId="0" applyFont="1" applyBorder="1" applyAlignment="1" applyProtection="1">
      <alignment horizontal="left" vertical="center"/>
    </xf>
    <xf numFmtId="0" fontId="2" fillId="0" borderId="0" xfId="0" applyFont="1" applyBorder="1" applyAlignment="1" applyProtection="1">
      <alignment horizontal="center" vertical="center"/>
    </xf>
    <xf numFmtId="0" fontId="6" fillId="0" borderId="24" xfId="0" applyFont="1" applyFill="1" applyBorder="1" applyAlignment="1" applyProtection="1">
      <alignment horizontal="left"/>
    </xf>
    <xf numFmtId="0" fontId="13" fillId="0" borderId="0" xfId="0" applyFont="1" applyFill="1" applyBorder="1" applyAlignment="1" applyProtection="1"/>
    <xf numFmtId="164" fontId="2" fillId="0" borderId="0" xfId="0" applyNumberFormat="1" applyFont="1" applyFill="1" applyBorder="1" applyAlignment="1" applyProtection="1"/>
    <xf numFmtId="164" fontId="2" fillId="0" borderId="24" xfId="0" applyNumberFormat="1" applyFont="1" applyFill="1" applyBorder="1" applyAlignment="1" applyProtection="1"/>
    <xf numFmtId="164" fontId="6" fillId="0" borderId="1" xfId="0" applyNumberFormat="1" applyFont="1" applyFill="1" applyBorder="1" applyAlignment="1" applyProtection="1">
      <alignment horizontal="center"/>
    </xf>
    <xf numFmtId="0" fontId="2" fillId="0" borderId="24" xfId="0" applyFont="1" applyFill="1" applyBorder="1" applyAlignment="1" applyProtection="1">
      <alignment horizontal="left" wrapText="1"/>
    </xf>
    <xf numFmtId="164" fontId="2" fillId="0" borderId="24" xfId="0" applyNumberFormat="1" applyFont="1" applyFill="1" applyBorder="1" applyAlignment="1" applyProtection="1">
      <alignment horizontal="center"/>
    </xf>
    <xf numFmtId="164" fontId="2" fillId="0" borderId="0" xfId="0" applyNumberFormat="1" applyFont="1" applyFill="1" applyBorder="1" applyAlignment="1" applyProtection="1">
      <alignment horizontal="center"/>
    </xf>
    <xf numFmtId="0" fontId="13" fillId="0" borderId="1" xfId="0" applyFont="1" applyBorder="1" applyAlignment="1" applyProtection="1">
      <alignment horizontal="center" vertical="center"/>
    </xf>
    <xf numFmtId="0" fontId="13" fillId="0" borderId="19" xfId="0" applyFont="1" applyBorder="1" applyAlignment="1" applyProtection="1">
      <alignment horizontal="center" vertical="center"/>
    </xf>
    <xf numFmtId="9" fontId="2" fillId="0" borderId="25" xfId="6" applyFont="1" applyFill="1" applyBorder="1" applyAlignment="1" applyProtection="1">
      <alignment horizontal="center" vertical="center" wrapText="1"/>
    </xf>
    <xf numFmtId="9" fontId="2" fillId="0" borderId="2" xfId="6" applyFont="1" applyFill="1" applyBorder="1" applyAlignment="1" applyProtection="1">
      <alignment horizontal="center" vertical="center" wrapText="1"/>
    </xf>
    <xf numFmtId="0" fontId="13" fillId="0" borderId="1" xfId="0" applyFont="1" applyBorder="1" applyAlignment="1" applyProtection="1">
      <alignment horizontal="center" vertical="center" wrapText="1"/>
    </xf>
    <xf numFmtId="10" fontId="2" fillId="0" borderId="35" xfId="0" applyNumberFormat="1" applyFont="1" applyFill="1" applyBorder="1" applyAlignment="1" applyProtection="1">
      <alignment horizontal="center"/>
      <protection locked="0"/>
    </xf>
    <xf numFmtId="164" fontId="12" fillId="0" borderId="38" xfId="0" applyNumberFormat="1" applyFont="1" applyFill="1" applyBorder="1" applyProtection="1">
      <protection locked="0"/>
    </xf>
    <xf numFmtId="14" fontId="6" fillId="0" borderId="0" xfId="0" applyNumberFormat="1" applyFont="1" applyFill="1" applyBorder="1" applyAlignment="1" applyProtection="1">
      <alignment horizontal="left"/>
    </xf>
    <xf numFmtId="14" fontId="6" fillId="0" borderId="24" xfId="0" applyNumberFormat="1" applyFont="1" applyFill="1" applyBorder="1" applyAlignment="1" applyProtection="1">
      <alignment horizontal="left"/>
    </xf>
    <xf numFmtId="0" fontId="6" fillId="0" borderId="18" xfId="0" applyFont="1" applyFill="1" applyBorder="1" applyAlignment="1" applyProtection="1">
      <alignment horizontal="center"/>
    </xf>
    <xf numFmtId="14" fontId="6" fillId="0" borderId="30" xfId="0" applyNumberFormat="1" applyFont="1" applyFill="1" applyBorder="1" applyAlignment="1" applyProtection="1">
      <alignment horizontal="center"/>
    </xf>
    <xf numFmtId="0" fontId="2" fillId="0" borderId="25" xfId="0" applyFont="1" applyFill="1" applyBorder="1" applyAlignment="1" applyProtection="1">
      <alignment horizontal="left"/>
    </xf>
    <xf numFmtId="0" fontId="6" fillId="0" borderId="25" xfId="0" applyFont="1" applyFill="1" applyBorder="1" applyAlignment="1" applyProtection="1">
      <alignment horizontal="left"/>
    </xf>
    <xf numFmtId="0" fontId="2" fillId="0" borderId="24" xfId="0" applyFont="1" applyFill="1" applyBorder="1" applyAlignment="1" applyProtection="1"/>
    <xf numFmtId="0" fontId="2" fillId="0" borderId="0" xfId="0" applyFont="1" applyBorder="1" applyAlignment="1" applyProtection="1">
      <alignment vertical="center" wrapText="1"/>
    </xf>
    <xf numFmtId="0" fontId="2" fillId="0" borderId="25" xfId="0" applyFont="1" applyFill="1" applyBorder="1" applyAlignment="1" applyProtection="1">
      <alignment horizontal="center" vertical="center"/>
    </xf>
    <xf numFmtId="0" fontId="6" fillId="0" borderId="1" xfId="0" applyFont="1" applyFill="1" applyBorder="1" applyAlignment="1" applyProtection="1"/>
    <xf numFmtId="164" fontId="6" fillId="0" borderId="0" xfId="0" applyNumberFormat="1" applyFont="1" applyFill="1" applyBorder="1" applyProtection="1"/>
    <xf numFmtId="0" fontId="13" fillId="0" borderId="0" xfId="0" applyFont="1" applyBorder="1" applyAlignment="1" applyProtection="1">
      <alignment horizontal="center"/>
    </xf>
    <xf numFmtId="0" fontId="13" fillId="0" borderId="24" xfId="0" applyFont="1" applyBorder="1" applyAlignment="1" applyProtection="1">
      <alignment horizontal="center"/>
    </xf>
    <xf numFmtId="0" fontId="6" fillId="0" borderId="19" xfId="0" applyFont="1" applyFill="1" applyBorder="1" applyAlignment="1" applyProtection="1">
      <alignment horizontal="center"/>
    </xf>
    <xf numFmtId="9" fontId="2" fillId="0" borderId="0" xfId="6" applyFont="1" applyFill="1" applyBorder="1" applyAlignment="1" applyProtection="1">
      <alignment horizontal="center" vertical="center" wrapText="1"/>
    </xf>
    <xf numFmtId="0" fontId="2" fillId="0" borderId="0" xfId="0" applyFont="1" applyFill="1" applyBorder="1" applyAlignment="1" applyProtection="1">
      <alignment horizontal="left" vertical="center"/>
    </xf>
    <xf numFmtId="14" fontId="6" fillId="0" borderId="0" xfId="0" applyNumberFormat="1" applyFont="1" applyFill="1" applyBorder="1" applyAlignment="1" applyProtection="1">
      <alignment horizontal="center"/>
    </xf>
    <xf numFmtId="0" fontId="6" fillId="0" borderId="7" xfId="0" applyFont="1" applyFill="1" applyBorder="1" applyAlignment="1" applyProtection="1">
      <alignment horizontal="center"/>
    </xf>
    <xf numFmtId="164" fontId="6" fillId="3" borderId="2" xfId="0" applyNumberFormat="1" applyFont="1" applyFill="1" applyBorder="1" applyProtection="1"/>
    <xf numFmtId="170" fontId="6" fillId="0" borderId="7" xfId="0" applyNumberFormat="1" applyFont="1" applyFill="1" applyBorder="1" applyAlignment="1" applyProtection="1">
      <alignment horizontal="center"/>
    </xf>
    <xf numFmtId="164" fontId="6" fillId="0" borderId="35" xfId="0" applyNumberFormat="1" applyFont="1" applyFill="1" applyBorder="1" applyProtection="1">
      <protection locked="0"/>
    </xf>
    <xf numFmtId="0" fontId="12" fillId="0" borderId="1" xfId="0" applyFont="1" applyBorder="1" applyAlignment="1">
      <alignment vertical="center" wrapText="1"/>
    </xf>
    <xf numFmtId="0" fontId="2" fillId="0" borderId="1" xfId="0" applyFont="1" applyFill="1" applyBorder="1" applyAlignment="1" applyProtection="1">
      <alignment horizontal="center"/>
    </xf>
    <xf numFmtId="0" fontId="2" fillId="0" borderId="1" xfId="0" applyFont="1" applyFill="1" applyBorder="1" applyAlignment="1" applyProtection="1">
      <alignment horizontal="left"/>
    </xf>
    <xf numFmtId="0" fontId="2" fillId="0" borderId="0" xfId="0" applyFont="1" applyFill="1" applyBorder="1" applyAlignment="1" applyProtection="1">
      <alignment horizontal="center" vertical="center"/>
    </xf>
    <xf numFmtId="0" fontId="2" fillId="0" borderId="25" xfId="0" applyFont="1" applyFill="1" applyBorder="1" applyAlignment="1" applyProtection="1">
      <alignment horizontal="center"/>
    </xf>
    <xf numFmtId="0" fontId="17" fillId="0" borderId="0" xfId="1" applyFont="1" applyBorder="1" applyAlignment="1" applyProtection="1">
      <alignment horizontal="left"/>
    </xf>
    <xf numFmtId="0" fontId="13" fillId="0" borderId="1" xfId="0" applyFont="1" applyFill="1" applyBorder="1" applyAlignment="1" applyProtection="1">
      <alignment horizontal="center"/>
    </xf>
    <xf numFmtId="0" fontId="13" fillId="0" borderId="1" xfId="0" applyFont="1" applyBorder="1" applyAlignment="1" applyProtection="1">
      <alignment horizontal="center"/>
    </xf>
    <xf numFmtId="0" fontId="2" fillId="0" borderId="1" xfId="0" applyFont="1" applyFill="1" applyBorder="1" applyAlignment="1" applyProtection="1"/>
    <xf numFmtId="0" fontId="2" fillId="0" borderId="2" xfId="0" applyFont="1" applyFill="1" applyBorder="1" applyAlignment="1" applyProtection="1">
      <alignment horizontal="center" vertical="center" wrapText="1"/>
    </xf>
    <xf numFmtId="0" fontId="12" fillId="0" borderId="0" xfId="0" applyFont="1" applyAlignment="1" applyProtection="1">
      <alignment vertical="center"/>
    </xf>
    <xf numFmtId="0" fontId="12" fillId="0" borderId="0" xfId="0" applyFont="1" applyAlignment="1" applyProtection="1">
      <alignment horizontal="center"/>
    </xf>
    <xf numFmtId="0" fontId="14" fillId="6" borderId="17" xfId="0" applyFont="1" applyFill="1" applyBorder="1" applyAlignment="1" applyProtection="1"/>
    <xf numFmtId="0" fontId="12" fillId="0" borderId="0" xfId="0" applyFont="1" applyProtection="1"/>
    <xf numFmtId="0" fontId="12" fillId="0" borderId="0" xfId="0" applyFont="1"/>
    <xf numFmtId="0" fontId="12" fillId="0" borderId="1" xfId="0" applyFont="1" applyBorder="1" applyAlignment="1" applyProtection="1">
      <alignment horizontal="center"/>
    </xf>
    <xf numFmtId="0" fontId="12" fillId="0" borderId="18" xfId="0" applyFont="1" applyBorder="1" applyAlignment="1" applyProtection="1">
      <alignment horizontal="left" vertical="center"/>
    </xf>
    <xf numFmtId="0" fontId="12" fillId="0" borderId="1" xfId="0" applyFont="1" applyBorder="1" applyAlignment="1" applyProtection="1">
      <alignment horizontal="left" vertical="center"/>
    </xf>
    <xf numFmtId="166" fontId="12" fillId="3" borderId="15" xfId="0" applyNumberFormat="1" applyFont="1" applyFill="1" applyBorder="1" applyAlignment="1" applyProtection="1">
      <alignment horizontal="left" vertical="center"/>
    </xf>
    <xf numFmtId="0" fontId="12" fillId="0" borderId="1" xfId="0" applyFont="1" applyBorder="1" applyAlignment="1" applyProtection="1">
      <alignment horizontal="left" vertical="center" wrapText="1"/>
    </xf>
    <xf numFmtId="0" fontId="12" fillId="3" borderId="15" xfId="0" applyFont="1" applyFill="1" applyBorder="1" applyAlignment="1" applyProtection="1">
      <alignment horizontal="left" vertical="center"/>
    </xf>
    <xf numFmtId="0" fontId="12" fillId="0" borderId="18" xfId="0" applyFont="1" applyBorder="1" applyProtection="1"/>
    <xf numFmtId="0" fontId="12" fillId="0" borderId="35" xfId="0" applyFont="1" applyBorder="1" applyProtection="1">
      <protection locked="0"/>
    </xf>
    <xf numFmtId="0" fontId="12" fillId="0" borderId="0" xfId="0" applyFont="1" applyBorder="1" applyProtection="1"/>
    <xf numFmtId="14" fontId="12" fillId="3" borderId="1" xfId="0" applyNumberFormat="1" applyFont="1" applyFill="1" applyBorder="1" applyAlignment="1" applyProtection="1">
      <alignment horizontal="center"/>
    </xf>
    <xf numFmtId="0" fontId="12" fillId="0" borderId="0" xfId="0" applyFont="1" applyFill="1" applyBorder="1" applyProtection="1"/>
    <xf numFmtId="14" fontId="12" fillId="0" borderId="0" xfId="0" applyNumberFormat="1" applyFont="1" applyFill="1" applyBorder="1" applyAlignment="1" applyProtection="1">
      <alignment horizontal="center"/>
    </xf>
    <xf numFmtId="0" fontId="12" fillId="0" borderId="24" xfId="0" applyFont="1" applyBorder="1" applyProtection="1"/>
    <xf numFmtId="14" fontId="12" fillId="0" borderId="24" xfId="0" applyNumberFormat="1" applyFont="1" applyFill="1" applyBorder="1" applyAlignment="1" applyProtection="1">
      <alignment horizontal="center"/>
    </xf>
    <xf numFmtId="0" fontId="12" fillId="0" borderId="24" xfId="0" applyFont="1" applyFill="1" applyBorder="1" applyProtection="1"/>
    <xf numFmtId="0" fontId="12" fillId="0" borderId="25" xfId="0" applyFont="1" applyBorder="1" applyAlignment="1" applyProtection="1">
      <alignment horizontal="center"/>
    </xf>
    <xf numFmtId="14" fontId="12" fillId="0" borderId="1" xfId="0" applyNumberFormat="1" applyFont="1" applyFill="1" applyBorder="1" applyAlignment="1" applyProtection="1">
      <alignment horizontal="center"/>
    </xf>
    <xf numFmtId="0" fontId="12" fillId="0" borderId="22" xfId="0" applyFont="1" applyBorder="1" applyAlignment="1" applyProtection="1">
      <alignment horizontal="center"/>
    </xf>
    <xf numFmtId="0" fontId="12" fillId="0" borderId="19" xfId="0" applyFont="1" applyFill="1" applyBorder="1" applyAlignment="1" applyProtection="1">
      <alignment horizontal="center"/>
    </xf>
    <xf numFmtId="0" fontId="12" fillId="0" borderId="19" xfId="0" applyFont="1" applyBorder="1" applyAlignment="1" applyProtection="1">
      <alignment horizontal="center"/>
    </xf>
    <xf numFmtId="0" fontId="12" fillId="0" borderId="25" xfId="0" applyFont="1" applyBorder="1" applyProtection="1"/>
    <xf numFmtId="164" fontId="12" fillId="3" borderId="25" xfId="0" applyNumberFormat="1" applyFont="1" applyFill="1" applyBorder="1" applyProtection="1"/>
    <xf numFmtId="164" fontId="12" fillId="0" borderId="35" xfId="0" applyNumberFormat="1" applyFont="1" applyFill="1" applyBorder="1" applyAlignment="1" applyProtection="1">
      <protection locked="0"/>
    </xf>
    <xf numFmtId="164" fontId="12" fillId="0" borderId="35" xfId="0" applyNumberFormat="1" applyFont="1" applyFill="1" applyBorder="1" applyProtection="1">
      <protection locked="0"/>
    </xf>
    <xf numFmtId="164" fontId="12" fillId="0" borderId="37" xfId="0" applyNumberFormat="1" applyFont="1" applyFill="1" applyBorder="1" applyProtection="1">
      <protection locked="0"/>
    </xf>
    <xf numFmtId="164" fontId="12" fillId="3" borderId="7" xfId="0" applyNumberFormat="1" applyFont="1" applyFill="1" applyBorder="1" applyProtection="1"/>
    <xf numFmtId="164" fontId="12" fillId="0" borderId="35" xfId="0" applyNumberFormat="1" applyFont="1" applyBorder="1" applyProtection="1">
      <protection locked="0"/>
    </xf>
    <xf numFmtId="164" fontId="12" fillId="3" borderId="2" xfId="0" applyNumberFormat="1" applyFont="1" applyFill="1" applyBorder="1" applyProtection="1"/>
    <xf numFmtId="164" fontId="12" fillId="3" borderId="1" xfId="0" applyNumberFormat="1" applyFont="1" applyFill="1" applyBorder="1" applyProtection="1"/>
    <xf numFmtId="164" fontId="12" fillId="0" borderId="36" xfId="0" applyNumberFormat="1" applyFont="1" applyFill="1" applyBorder="1" applyProtection="1">
      <protection locked="0"/>
    </xf>
    <xf numFmtId="164" fontId="12" fillId="3" borderId="26" xfId="0" applyNumberFormat="1" applyFont="1" applyFill="1" applyBorder="1" applyProtection="1"/>
    <xf numFmtId="164" fontId="12" fillId="3" borderId="16" xfId="0" applyNumberFormat="1" applyFont="1" applyFill="1" applyBorder="1" applyProtection="1"/>
    <xf numFmtId="164" fontId="12" fillId="3" borderId="28" xfId="0" applyNumberFormat="1" applyFont="1" applyFill="1" applyBorder="1" applyProtection="1"/>
    <xf numFmtId="0" fontId="12" fillId="0" borderId="1" xfId="0" applyFont="1" applyFill="1" applyBorder="1" applyAlignment="1" applyProtection="1">
      <alignment horizontal="center"/>
    </xf>
    <xf numFmtId="164" fontId="12" fillId="3" borderId="18" xfId="0" applyNumberFormat="1" applyFont="1" applyFill="1" applyBorder="1" applyProtection="1"/>
    <xf numFmtId="164" fontId="12" fillId="0" borderId="1" xfId="0" applyNumberFormat="1" applyFont="1" applyFill="1" applyBorder="1" applyProtection="1"/>
    <xf numFmtId="10" fontId="12" fillId="3" borderId="1" xfId="6" applyNumberFormat="1" applyFont="1" applyFill="1" applyBorder="1" applyAlignment="1" applyProtection="1">
      <alignment horizontal="right"/>
    </xf>
    <xf numFmtId="0" fontId="12" fillId="0" borderId="25" xfId="0" applyFont="1" applyFill="1" applyBorder="1" applyAlignment="1" applyProtection="1">
      <alignment horizontal="center"/>
    </xf>
    <xf numFmtId="0" fontId="12" fillId="0" borderId="2" xfId="0" applyFont="1" applyFill="1" applyBorder="1" applyAlignment="1" applyProtection="1">
      <alignment horizontal="center"/>
    </xf>
    <xf numFmtId="0" fontId="12" fillId="0" borderId="2" xfId="0" applyFont="1" applyBorder="1" applyAlignment="1" applyProtection="1">
      <alignment horizontal="center"/>
    </xf>
    <xf numFmtId="0" fontId="12" fillId="0" borderId="0" xfId="0" applyFont="1" applyBorder="1" applyAlignment="1" applyProtection="1">
      <alignment horizontal="center"/>
    </xf>
    <xf numFmtId="0" fontId="12" fillId="0" borderId="18" xfId="0" applyNumberFormat="1" applyFont="1" applyFill="1" applyBorder="1" applyAlignment="1" applyProtection="1">
      <alignment horizontal="center"/>
    </xf>
    <xf numFmtId="165" fontId="12" fillId="3" borderId="18" xfId="0" applyNumberFormat="1" applyFont="1" applyFill="1" applyBorder="1" applyAlignment="1" applyProtection="1">
      <alignment horizontal="center"/>
    </xf>
    <xf numFmtId="0" fontId="12" fillId="0" borderId="35" xfId="0" applyFont="1" applyFill="1" applyBorder="1" applyProtection="1">
      <protection locked="0"/>
    </xf>
    <xf numFmtId="0" fontId="12" fillId="0" borderId="35" xfId="0" applyFont="1" applyFill="1" applyBorder="1" applyAlignment="1" applyProtection="1">
      <alignment horizontal="left"/>
      <protection locked="0"/>
    </xf>
    <xf numFmtId="164" fontId="12" fillId="3" borderId="31" xfId="0" applyNumberFormat="1" applyFont="1" applyFill="1" applyBorder="1" applyProtection="1"/>
    <xf numFmtId="164" fontId="12" fillId="0" borderId="36" xfId="0" applyNumberFormat="1" applyFont="1" applyBorder="1" applyProtection="1">
      <protection locked="0"/>
    </xf>
    <xf numFmtId="164" fontId="12" fillId="0" borderId="37" xfId="0" applyNumberFormat="1" applyFont="1" applyBorder="1" applyProtection="1">
      <protection locked="0"/>
    </xf>
    <xf numFmtId="0" fontId="12" fillId="0" borderId="39" xfId="0" applyFont="1" applyBorder="1" applyProtection="1">
      <protection locked="0"/>
    </xf>
    <xf numFmtId="0" fontId="12" fillId="0" borderId="39" xfId="0" applyFont="1" applyFill="1" applyBorder="1" applyAlignment="1" applyProtection="1">
      <alignment horizontal="left"/>
      <protection locked="0"/>
    </xf>
    <xf numFmtId="164" fontId="12" fillId="0" borderId="40" xfId="0" applyNumberFormat="1" applyFont="1" applyBorder="1" applyProtection="1">
      <protection locked="0"/>
    </xf>
    <xf numFmtId="164" fontId="12" fillId="0" borderId="39" xfId="0" applyNumberFormat="1" applyFont="1" applyBorder="1" applyProtection="1">
      <protection locked="0"/>
    </xf>
    <xf numFmtId="164" fontId="12" fillId="0" borderId="41" xfId="0" applyNumberFormat="1" applyFont="1" applyBorder="1" applyProtection="1">
      <protection locked="0"/>
    </xf>
    <xf numFmtId="0" fontId="7" fillId="0" borderId="0" xfId="0" applyFont="1" applyFill="1" applyBorder="1" applyAlignment="1" applyProtection="1">
      <alignment horizontal="left"/>
    </xf>
    <xf numFmtId="0" fontId="18" fillId="0" borderId="0" xfId="0" applyFont="1" applyBorder="1" applyProtection="1"/>
    <xf numFmtId="164" fontId="12" fillId="0" borderId="38" xfId="0" applyNumberFormat="1" applyFont="1" applyFill="1" applyBorder="1" applyProtection="1">
      <protection locked="0"/>
    </xf>
    <xf numFmtId="164" fontId="12" fillId="3" borderId="19" xfId="0" applyNumberFormat="1" applyFont="1" applyFill="1" applyBorder="1" applyProtection="1"/>
    <xf numFmtId="164" fontId="12" fillId="0" borderId="42" xfId="0" applyNumberFormat="1" applyFont="1" applyFill="1" applyBorder="1" applyProtection="1">
      <protection locked="0"/>
    </xf>
    <xf numFmtId="164" fontId="12" fillId="3" borderId="17" xfId="0" applyNumberFormat="1" applyFont="1" applyFill="1" applyBorder="1" applyProtection="1"/>
    <xf numFmtId="164" fontId="12" fillId="3" borderId="15" xfId="0" applyNumberFormat="1" applyFont="1" applyFill="1" applyBorder="1" applyProtection="1"/>
    <xf numFmtId="164" fontId="12" fillId="3" borderId="29" xfId="0" applyNumberFormat="1" applyFont="1" applyFill="1" applyBorder="1" applyProtection="1"/>
    <xf numFmtId="164" fontId="12" fillId="0" borderId="43" xfId="0" applyNumberFormat="1" applyFont="1" applyFill="1" applyBorder="1" applyProtection="1">
      <protection locked="0"/>
    </xf>
    <xf numFmtId="0" fontId="12" fillId="0" borderId="0" xfId="0" applyFont="1" applyFill="1" applyBorder="1" applyAlignment="1" applyProtection="1">
      <alignment horizontal="center" wrapText="1"/>
    </xf>
    <xf numFmtId="0" fontId="12" fillId="0" borderId="24" xfId="0" applyFont="1" applyFill="1" applyBorder="1" applyAlignment="1" applyProtection="1">
      <alignment horizontal="center" wrapText="1"/>
    </xf>
    <xf numFmtId="169" fontId="12" fillId="0" borderId="0" xfId="0" applyNumberFormat="1" applyFont="1" applyFill="1" applyBorder="1" applyAlignment="1" applyProtection="1">
      <alignment horizontal="center" wrapText="1"/>
    </xf>
    <xf numFmtId="9" fontId="12" fillId="0" borderId="0" xfId="6" applyFont="1" applyFill="1" applyBorder="1" applyProtection="1"/>
    <xf numFmtId="0" fontId="12" fillId="0" borderId="1" xfId="0" applyFont="1" applyBorder="1" applyAlignment="1" applyProtection="1">
      <alignment horizontal="center" vertical="center"/>
    </xf>
    <xf numFmtId="0" fontId="12" fillId="0" borderId="1" xfId="0" applyFont="1" applyFill="1" applyBorder="1" applyAlignment="1" applyProtection="1">
      <alignment horizontal="center" wrapText="1"/>
    </xf>
    <xf numFmtId="0" fontId="12" fillId="0" borderId="0" xfId="0" applyFont="1" applyBorder="1" applyAlignment="1" applyProtection="1">
      <alignment vertical="center"/>
    </xf>
    <xf numFmtId="0" fontId="12" fillId="3" borderId="18" xfId="0" applyFont="1" applyFill="1" applyBorder="1" applyAlignment="1" applyProtection="1">
      <alignment horizontal="center"/>
    </xf>
    <xf numFmtId="0" fontId="12" fillId="0" borderId="35" xfId="0" applyFont="1" applyFill="1" applyBorder="1" applyAlignment="1" applyProtection="1">
      <alignment horizontal="center"/>
      <protection locked="0"/>
    </xf>
    <xf numFmtId="9" fontId="12" fillId="0" borderId="35" xfId="6" applyFont="1" applyFill="1" applyBorder="1" applyProtection="1">
      <protection locked="0"/>
    </xf>
    <xf numFmtId="169" fontId="12" fillId="3" borderId="2" xfId="6" applyNumberFormat="1" applyFont="1" applyFill="1" applyBorder="1" applyProtection="1"/>
    <xf numFmtId="164" fontId="12" fillId="0" borderId="36" xfId="0" applyNumberFormat="1" applyFont="1" applyFill="1" applyBorder="1" applyAlignment="1" applyProtection="1">
      <alignment wrapText="1"/>
      <protection locked="0"/>
    </xf>
    <xf numFmtId="0" fontId="12" fillId="0" borderId="0" xfId="0" applyFont="1" applyBorder="1" applyAlignment="1" applyProtection="1">
      <alignment horizontal="left"/>
    </xf>
    <xf numFmtId="14" fontId="12" fillId="0" borderId="2" xfId="0" applyNumberFormat="1" applyFont="1" applyFill="1" applyBorder="1" applyAlignment="1" applyProtection="1">
      <alignment horizontal="center"/>
    </xf>
    <xf numFmtId="0" fontId="12" fillId="0" borderId="1" xfId="0" applyFont="1" applyFill="1" applyBorder="1" applyAlignment="1" applyProtection="1">
      <alignment horizontal="center" vertical="center"/>
    </xf>
    <xf numFmtId="0" fontId="12" fillId="3" borderId="18" xfId="0" applyNumberFormat="1" applyFont="1" applyFill="1" applyBorder="1" applyAlignment="1" applyProtection="1">
      <alignment horizontal="center"/>
    </xf>
    <xf numFmtId="14" fontId="12" fillId="0" borderId="35" xfId="0" applyNumberFormat="1" applyFont="1" applyFill="1" applyBorder="1" applyProtection="1">
      <protection locked="0"/>
    </xf>
    <xf numFmtId="0" fontId="12" fillId="3" borderId="1" xfId="0" applyNumberFormat="1" applyFont="1" applyFill="1" applyBorder="1" applyAlignment="1" applyProtection="1">
      <alignment horizontal="center"/>
    </xf>
    <xf numFmtId="0" fontId="12" fillId="3" borderId="16" xfId="0" applyFont="1" applyFill="1" applyBorder="1" applyProtection="1"/>
    <xf numFmtId="14" fontId="12" fillId="3" borderId="16" xfId="0" applyNumberFormat="1" applyFont="1" applyFill="1" applyBorder="1" applyProtection="1"/>
    <xf numFmtId="0" fontId="12" fillId="3" borderId="1" xfId="0" applyFont="1" applyFill="1" applyBorder="1" applyProtection="1"/>
    <xf numFmtId="14" fontId="12" fillId="3" borderId="1" xfId="0" applyNumberFormat="1" applyFont="1" applyFill="1" applyBorder="1" applyProtection="1"/>
    <xf numFmtId="164" fontId="12" fillId="2" borderId="36" xfId="0" applyNumberFormat="1" applyFont="1" applyFill="1" applyBorder="1" applyProtection="1">
      <protection locked="0"/>
    </xf>
    <xf numFmtId="164" fontId="12" fillId="2" borderId="35" xfId="0" applyNumberFormat="1" applyFont="1" applyFill="1" applyBorder="1" applyProtection="1">
      <protection locked="0"/>
    </xf>
    <xf numFmtId="164" fontId="12" fillId="2" borderId="37" xfId="0" applyNumberFormat="1" applyFont="1" applyFill="1" applyBorder="1" applyProtection="1">
      <protection locked="0"/>
    </xf>
    <xf numFmtId="0" fontId="12" fillId="0" borderId="0" xfId="0" applyNumberFormat="1" applyFont="1" applyBorder="1" applyProtection="1"/>
    <xf numFmtId="0" fontId="12" fillId="0" borderId="1" xfId="0" applyNumberFormat="1" applyFont="1" applyBorder="1" applyAlignment="1" applyProtection="1">
      <alignment horizontal="center"/>
    </xf>
    <xf numFmtId="0" fontId="12" fillId="3" borderId="2" xfId="0" applyFont="1" applyFill="1" applyBorder="1" applyProtection="1"/>
    <xf numFmtId="0" fontId="12" fillId="0" borderId="1" xfId="0" applyFont="1" applyFill="1" applyBorder="1" applyProtection="1"/>
    <xf numFmtId="0" fontId="12" fillId="0" borderId="1" xfId="0" applyFont="1" applyBorder="1" applyProtection="1"/>
    <xf numFmtId="14" fontId="12" fillId="0" borderId="0" xfId="0" applyNumberFormat="1" applyFont="1" applyBorder="1" applyAlignment="1" applyProtection="1">
      <alignment horizontal="center"/>
    </xf>
    <xf numFmtId="14" fontId="12" fillId="0" borderId="24" xfId="0" applyNumberFormat="1" applyFont="1" applyBorder="1" applyAlignment="1" applyProtection="1">
      <alignment horizontal="center"/>
    </xf>
    <xf numFmtId="14" fontId="12" fillId="0" borderId="25" xfId="0" applyNumberFormat="1" applyFont="1" applyBorder="1" applyAlignment="1" applyProtection="1">
      <alignment horizontal="center"/>
    </xf>
    <xf numFmtId="0" fontId="12" fillId="3" borderId="1" xfId="0" applyFont="1" applyFill="1" applyBorder="1" applyAlignment="1" applyProtection="1">
      <alignment horizontal="center"/>
    </xf>
    <xf numFmtId="164" fontId="12" fillId="7" borderId="2" xfId="0" applyNumberFormat="1" applyFont="1" applyFill="1" applyBorder="1" applyProtection="1"/>
    <xf numFmtId="164" fontId="12" fillId="7" borderId="1" xfId="0" applyNumberFormat="1" applyFont="1" applyFill="1" applyBorder="1" applyProtection="1"/>
    <xf numFmtId="164" fontId="12" fillId="7" borderId="26" xfId="0" applyNumberFormat="1" applyFont="1" applyFill="1" applyBorder="1" applyProtection="1"/>
    <xf numFmtId="164" fontId="12" fillId="7" borderId="16" xfId="0" applyNumberFormat="1" applyFont="1" applyFill="1" applyBorder="1" applyProtection="1"/>
    <xf numFmtId="165" fontId="12" fillId="0" borderId="35" xfId="0" applyNumberFormat="1" applyFont="1" applyFill="1" applyBorder="1" applyAlignment="1" applyProtection="1">
      <alignment horizontal="center"/>
      <protection locked="0"/>
    </xf>
    <xf numFmtId="164" fontId="12" fillId="0" borderId="35" xfId="0" applyNumberFormat="1" applyFont="1" applyFill="1" applyBorder="1" applyAlignment="1" applyProtection="1">
      <alignment horizontal="center"/>
      <protection locked="0"/>
    </xf>
    <xf numFmtId="0" fontId="12" fillId="0" borderId="35" xfId="0" applyFont="1" applyBorder="1" applyAlignment="1" applyProtection="1">
      <alignment wrapText="1"/>
      <protection locked="0"/>
    </xf>
    <xf numFmtId="164" fontId="12" fillId="0" borderId="35" xfId="0" applyNumberFormat="1" applyFont="1" applyBorder="1" applyAlignment="1" applyProtection="1">
      <alignment horizontal="center"/>
      <protection locked="0"/>
    </xf>
    <xf numFmtId="165" fontId="12" fillId="0" borderId="0" xfId="0" applyNumberFormat="1" applyFont="1" applyFill="1" applyBorder="1" applyProtection="1"/>
    <xf numFmtId="164" fontId="12" fillId="0" borderId="0" xfId="0" applyNumberFormat="1" applyFont="1" applyBorder="1" applyProtection="1"/>
    <xf numFmtId="165" fontId="12" fillId="0" borderId="24" xfId="0" applyNumberFormat="1" applyFont="1" applyFill="1" applyBorder="1" applyProtection="1"/>
    <xf numFmtId="164" fontId="12" fillId="0" borderId="24" xfId="0" applyNumberFormat="1" applyFont="1" applyBorder="1" applyProtection="1"/>
    <xf numFmtId="165" fontId="12" fillId="3" borderId="1" xfId="0" applyNumberFormat="1" applyFont="1" applyFill="1" applyBorder="1" applyAlignment="1" applyProtection="1">
      <alignment horizontal="center"/>
    </xf>
    <xf numFmtId="165" fontId="12" fillId="0" borderId="18" xfId="0" applyNumberFormat="1" applyFont="1" applyFill="1" applyBorder="1" applyAlignment="1" applyProtection="1">
      <alignment horizontal="center"/>
    </xf>
    <xf numFmtId="165" fontId="12" fillId="0" borderId="19" xfId="0" applyNumberFormat="1" applyFont="1" applyFill="1" applyBorder="1" applyAlignment="1" applyProtection="1">
      <alignment horizontal="center"/>
    </xf>
    <xf numFmtId="0" fontId="12" fillId="0" borderId="0" xfId="0" applyFont="1" applyBorder="1" applyAlignment="1" applyProtection="1">
      <alignment horizontal="center" vertical="center"/>
    </xf>
    <xf numFmtId="0" fontId="12" fillId="0" borderId="0" xfId="0" applyFont="1" applyBorder="1" applyProtection="1"/>
    <xf numFmtId="0" fontId="12" fillId="0" borderId="0" xfId="0" applyFont="1"/>
    <xf numFmtId="0" fontId="12" fillId="0" borderId="0" xfId="0" applyFont="1"/>
    <xf numFmtId="0" fontId="12" fillId="0" borderId="0" xfId="0" applyFont="1"/>
    <xf numFmtId="0" fontId="12" fillId="0" borderId="0" xfId="0" applyFont="1"/>
    <xf numFmtId="164" fontId="12" fillId="0" borderId="35" xfId="0" applyNumberFormat="1" applyFont="1" applyFill="1" applyBorder="1" applyProtection="1">
      <protection locked="0"/>
    </xf>
    <xf numFmtId="0" fontId="12" fillId="0" borderId="0" xfId="0" applyFont="1" applyFill="1" applyBorder="1" applyProtection="1"/>
    <xf numFmtId="0" fontId="12" fillId="0" borderId="0" xfId="0" applyFont="1" applyFill="1" applyProtection="1"/>
    <xf numFmtId="164" fontId="12" fillId="3" borderId="4" xfId="0" applyNumberFormat="1" applyFont="1" applyFill="1" applyBorder="1" applyProtection="1"/>
    <xf numFmtId="0" fontId="12" fillId="0" borderId="0" xfId="0" applyFont="1" applyFill="1" applyBorder="1" applyProtection="1"/>
    <xf numFmtId="0" fontId="4" fillId="0" borderId="0" xfId="0" applyFont="1" applyBorder="1" applyAlignment="1" applyProtection="1">
      <alignment vertical="center"/>
    </xf>
    <xf numFmtId="0" fontId="4" fillId="0" borderId="24" xfId="0" applyFont="1" applyFill="1" applyBorder="1" applyAlignment="1" applyProtection="1">
      <alignment horizontal="left"/>
    </xf>
    <xf numFmtId="0" fontId="16" fillId="0" borderId="24" xfId="0" applyFont="1" applyBorder="1" applyProtection="1"/>
    <xf numFmtId="0" fontId="4" fillId="0" borderId="0" xfId="0" applyFont="1" applyBorder="1" applyAlignment="1" applyProtection="1">
      <alignment horizontal="left" vertical="center"/>
    </xf>
    <xf numFmtId="0" fontId="4" fillId="0" borderId="0" xfId="0" applyFont="1" applyFill="1" applyBorder="1" applyAlignment="1" applyProtection="1"/>
    <xf numFmtId="0" fontId="4" fillId="0" borderId="0" xfId="0" applyFont="1" applyFill="1" applyBorder="1" applyAlignment="1" applyProtection="1">
      <alignment vertical="top"/>
    </xf>
    <xf numFmtId="0" fontId="16" fillId="0" borderId="24" xfId="0" applyFont="1" applyFill="1" applyBorder="1" applyProtection="1"/>
    <xf numFmtId="0" fontId="16" fillId="0" borderId="24" xfId="0" applyFont="1" applyBorder="1" applyAlignment="1" applyProtection="1">
      <alignment horizontal="left"/>
    </xf>
    <xf numFmtId="0" fontId="4" fillId="0" borderId="0" xfId="0" applyFont="1" applyFill="1" applyBorder="1" applyAlignment="1" applyProtection="1">
      <alignment horizontal="left" vertical="center"/>
    </xf>
    <xf numFmtId="0" fontId="4" fillId="0" borderId="24" xfId="0" applyFont="1" applyFill="1" applyBorder="1" applyAlignment="1" applyProtection="1"/>
    <xf numFmtId="0" fontId="12" fillId="0" borderId="0" xfId="0" applyFont="1"/>
    <xf numFmtId="0" fontId="12" fillId="0" borderId="0" xfId="0" applyFont="1" applyProtection="1"/>
    <xf numFmtId="0" fontId="12" fillId="0" borderId="0" xfId="0" applyFont="1" applyProtection="1"/>
    <xf numFmtId="0" fontId="12" fillId="0" borderId="0" xfId="0" applyFont="1"/>
    <xf numFmtId="0" fontId="12" fillId="0" borderId="0" xfId="0" applyFont="1"/>
    <xf numFmtId="0" fontId="12" fillId="0" borderId="0" xfId="0" applyFont="1"/>
    <xf numFmtId="0" fontId="12" fillId="0" borderId="1" xfId="0" applyFont="1" applyBorder="1" applyAlignment="1">
      <alignment vertical="center" wrapText="1"/>
    </xf>
    <xf numFmtId="0" fontId="12" fillId="0" borderId="0" xfId="0" applyFont="1"/>
    <xf numFmtId="0" fontId="12" fillId="0" borderId="1" xfId="0" applyFont="1" applyBorder="1" applyAlignment="1">
      <alignment vertical="center" wrapText="1"/>
    </xf>
    <xf numFmtId="0" fontId="16" fillId="0" borderId="0" xfId="0" applyFont="1" applyAlignment="1">
      <alignment vertical="center"/>
    </xf>
    <xf numFmtId="0" fontId="2" fillId="0" borderId="17" xfId="0" applyFont="1" applyBorder="1" applyAlignment="1" applyProtection="1">
      <alignment vertical="center"/>
    </xf>
    <xf numFmtId="0" fontId="12" fillId="0" borderId="17" xfId="0" applyFont="1" applyBorder="1" applyProtection="1"/>
    <xf numFmtId="14" fontId="12" fillId="0" borderId="44" xfId="0" applyNumberFormat="1" applyFont="1" applyBorder="1" applyAlignment="1" applyProtection="1">
      <alignment horizontal="left" vertical="center"/>
      <protection locked="0"/>
    </xf>
    <xf numFmtId="0" fontId="12" fillId="0" borderId="44" xfId="0" applyFont="1" applyBorder="1" applyAlignment="1" applyProtection="1">
      <alignment horizontal="left" vertical="center"/>
      <protection locked="0"/>
    </xf>
    <xf numFmtId="0" fontId="14" fillId="4" borderId="20" xfId="0" applyFont="1" applyFill="1" applyBorder="1" applyAlignment="1" applyProtection="1">
      <alignment horizontal="left"/>
    </xf>
    <xf numFmtId="0" fontId="17" fillId="0" borderId="0" xfId="1" applyFont="1" applyBorder="1" applyAlignment="1" applyProtection="1">
      <alignment horizontal="left"/>
    </xf>
    <xf numFmtId="0" fontId="13" fillId="0" borderId="1" xfId="0" applyFont="1" applyBorder="1" applyAlignment="1" applyProtection="1">
      <alignment horizontal="center"/>
    </xf>
    <xf numFmtId="0" fontId="12" fillId="0" borderId="1" xfId="0" applyFont="1" applyBorder="1" applyAlignment="1" applyProtection="1">
      <alignment wrapText="1"/>
      <protection locked="0"/>
    </xf>
    <xf numFmtId="0" fontId="12" fillId="0" borderId="1" xfId="0" applyFont="1" applyBorder="1" applyAlignment="1" applyProtection="1">
      <alignment wrapText="1"/>
      <protection locked="0"/>
    </xf>
    <xf numFmtId="0" fontId="12" fillId="0" borderId="1" xfId="0" applyFont="1" applyBorder="1" applyAlignment="1" applyProtection="1">
      <alignment horizontal="center"/>
    </xf>
    <xf numFmtId="0" fontId="12" fillId="0" borderId="18" xfId="0" applyFont="1" applyBorder="1" applyAlignment="1" applyProtection="1">
      <alignment horizontal="center"/>
    </xf>
    <xf numFmtId="0" fontId="12" fillId="0" borderId="18" xfId="0" applyFont="1" applyBorder="1" applyAlignment="1" applyProtection="1">
      <alignment horizontal="center"/>
    </xf>
    <xf numFmtId="0" fontId="12" fillId="0" borderId="0" xfId="0" applyFont="1" applyProtection="1"/>
    <xf numFmtId="0" fontId="12" fillId="0" borderId="0" xfId="0" applyFont="1" applyProtection="1"/>
    <xf numFmtId="0" fontId="12" fillId="0" borderId="0" xfId="0" applyFont="1" applyProtection="1"/>
    <xf numFmtId="0" fontId="12" fillId="0" borderId="1" xfId="0" applyFont="1" applyBorder="1" applyAlignment="1" applyProtection="1">
      <alignment wrapText="1"/>
      <protection locked="0"/>
    </xf>
    <xf numFmtId="0" fontId="12" fillId="0" borderId="1" xfId="0" applyFont="1" applyBorder="1" applyAlignment="1" applyProtection="1">
      <alignment horizontal="center"/>
    </xf>
    <xf numFmtId="0" fontId="12" fillId="0" borderId="35" xfId="0" applyFont="1" applyFill="1" applyBorder="1" applyAlignment="1" applyProtection="1">
      <protection locked="0"/>
    </xf>
    <xf numFmtId="0" fontId="12" fillId="0" borderId="35" xfId="0" applyFont="1" applyFill="1" applyBorder="1" applyAlignment="1" applyProtection="1">
      <protection locked="0"/>
    </xf>
    <xf numFmtId="164" fontId="12" fillId="0" borderId="45" xfId="0" applyNumberFormat="1" applyFont="1" applyFill="1" applyBorder="1" applyProtection="1"/>
    <xf numFmtId="0" fontId="13" fillId="0" borderId="14" xfId="0" applyFont="1" applyFill="1" applyBorder="1" applyProtection="1"/>
    <xf numFmtId="0" fontId="12" fillId="0" borderId="32" xfId="0" applyFont="1" applyFill="1" applyBorder="1" applyProtection="1"/>
    <xf numFmtId="164" fontId="12" fillId="0" borderId="33" xfId="0" applyNumberFormat="1" applyFont="1" applyFill="1" applyBorder="1" applyProtection="1"/>
    <xf numFmtId="164" fontId="12" fillId="3" borderId="33" xfId="0" applyNumberFormat="1" applyFont="1" applyFill="1" applyBorder="1" applyProtection="1"/>
    <xf numFmtId="0" fontId="12" fillId="0" borderId="35" xfId="0" applyFont="1" applyFill="1" applyBorder="1" applyProtection="1">
      <protection locked="0"/>
    </xf>
    <xf numFmtId="164" fontId="12" fillId="0" borderId="35" xfId="0" applyNumberFormat="1" applyFont="1" applyFill="1" applyBorder="1" applyProtection="1">
      <protection locked="0"/>
    </xf>
    <xf numFmtId="0" fontId="12" fillId="0" borderId="35" xfId="0" applyFont="1" applyBorder="1" applyProtection="1">
      <protection locked="0"/>
    </xf>
    <xf numFmtId="0" fontId="12" fillId="0" borderId="44" xfId="0" applyFont="1" applyBorder="1" applyAlignment="1" applyProtection="1">
      <alignment horizontal="left" vertical="center"/>
      <protection locked="0"/>
    </xf>
    <xf numFmtId="0" fontId="12" fillId="0" borderId="44" xfId="0" applyFont="1" applyBorder="1" applyProtection="1">
      <protection locked="0"/>
    </xf>
    <xf numFmtId="167" fontId="12" fillId="0" borderId="44" xfId="0" applyNumberFormat="1" applyFont="1" applyBorder="1" applyAlignment="1" applyProtection="1">
      <alignment horizontal="left" vertical="center"/>
      <protection locked="0"/>
    </xf>
    <xf numFmtId="0" fontId="12" fillId="0" borderId="44" xfId="0" applyFont="1" applyBorder="1" applyAlignment="1" applyProtection="1">
      <alignment horizontal="left" vertical="center" wrapText="1"/>
      <protection locked="0"/>
    </xf>
    <xf numFmtId="168" fontId="12" fillId="0" borderId="44" xfId="0" applyNumberFormat="1" applyFont="1" applyBorder="1" applyAlignment="1" applyProtection="1">
      <alignment horizontal="left" vertical="center"/>
      <protection locked="0"/>
    </xf>
    <xf numFmtId="0" fontId="12" fillId="0" borderId="19" xfId="0" applyFont="1" applyBorder="1" applyAlignment="1">
      <alignment vertical="center" wrapText="1"/>
    </xf>
    <xf numFmtId="0" fontId="12" fillId="0" borderId="15" xfId="0" applyFont="1" applyBorder="1" applyAlignment="1">
      <alignment vertical="center" wrapText="1"/>
    </xf>
    <xf numFmtId="0" fontId="12" fillId="0" borderId="16" xfId="0" applyFont="1" applyBorder="1" applyAlignment="1">
      <alignment vertical="center" wrapText="1"/>
    </xf>
    <xf numFmtId="0" fontId="12" fillId="0" borderId="1" xfId="0" applyFont="1" applyBorder="1" applyAlignment="1">
      <alignment vertical="center" wrapText="1"/>
    </xf>
    <xf numFmtId="0" fontId="12" fillId="0" borderId="1" xfId="0" applyFont="1" applyBorder="1" applyAlignment="1">
      <alignment horizontal="left" vertical="center" wrapText="1"/>
    </xf>
    <xf numFmtId="0" fontId="2" fillId="0" borderId="1" xfId="0" applyFont="1" applyFill="1" applyBorder="1" applyAlignment="1" applyProtection="1">
      <alignment horizontal="center"/>
    </xf>
    <xf numFmtId="0" fontId="14" fillId="4" borderId="20" xfId="0" applyFont="1" applyFill="1" applyBorder="1" applyAlignment="1" applyProtection="1">
      <alignment horizontal="left"/>
    </xf>
    <xf numFmtId="0" fontId="14" fillId="4" borderId="23" xfId="0" applyFont="1" applyFill="1" applyBorder="1" applyAlignment="1" applyProtection="1">
      <alignment horizontal="left"/>
    </xf>
    <xf numFmtId="0" fontId="2" fillId="0" borderId="1" xfId="0" applyFont="1" applyFill="1" applyBorder="1" applyAlignment="1" applyProtection="1">
      <alignment horizontal="left" wrapText="1"/>
    </xf>
    <xf numFmtId="0" fontId="2" fillId="3" borderId="1" xfId="0" applyFont="1" applyFill="1" applyBorder="1" applyAlignment="1" applyProtection="1">
      <alignment horizontal="left"/>
    </xf>
    <xf numFmtId="0" fontId="2" fillId="0" borderId="2" xfId="0" applyFont="1" applyFill="1" applyBorder="1" applyAlignment="1" applyProtection="1">
      <alignment horizontal="center"/>
    </xf>
    <xf numFmtId="0" fontId="2" fillId="0" borderId="25" xfId="0" applyFont="1" applyFill="1" applyBorder="1" applyAlignment="1" applyProtection="1">
      <alignment horizontal="center"/>
    </xf>
    <xf numFmtId="0" fontId="2" fillId="0" borderId="1" xfId="0" applyFont="1" applyFill="1" applyBorder="1" applyAlignment="1" applyProtection="1">
      <alignment horizontal="left"/>
    </xf>
    <xf numFmtId="0" fontId="2" fillId="3" borderId="1" xfId="0" applyFont="1" applyFill="1" applyBorder="1" applyAlignment="1" applyProtection="1">
      <alignment horizontal="left" vertical="center" wrapText="1"/>
    </xf>
    <xf numFmtId="0" fontId="17" fillId="0" borderId="0" xfId="1" applyFont="1" applyBorder="1" applyAlignment="1" applyProtection="1">
      <alignment horizontal="left"/>
    </xf>
    <xf numFmtId="0" fontId="4" fillId="0" borderId="0" xfId="0" applyFont="1" applyBorder="1" applyAlignment="1" applyProtection="1">
      <alignment horizontal="left" vertical="center"/>
    </xf>
    <xf numFmtId="0" fontId="13" fillId="0" borderId="2" xfId="0" applyFont="1" applyFill="1" applyBorder="1" applyAlignment="1" applyProtection="1">
      <alignment horizontal="center"/>
    </xf>
    <xf numFmtId="0" fontId="13" fillId="0" borderId="1" xfId="0" applyFont="1" applyFill="1" applyBorder="1" applyAlignment="1" applyProtection="1">
      <alignment horizontal="center"/>
    </xf>
    <xf numFmtId="0" fontId="13" fillId="0" borderId="25" xfId="0" applyFont="1" applyFill="1" applyBorder="1" applyAlignment="1" applyProtection="1">
      <alignment horizontal="center"/>
    </xf>
    <xf numFmtId="0" fontId="13" fillId="0" borderId="2" xfId="0" applyFont="1" applyBorder="1" applyAlignment="1" applyProtection="1">
      <alignment horizontal="center"/>
    </xf>
    <xf numFmtId="0" fontId="13" fillId="0" borderId="1" xfId="0" applyFont="1" applyBorder="1" applyAlignment="1" applyProtection="1">
      <alignment horizontal="center"/>
    </xf>
    <xf numFmtId="0" fontId="2" fillId="0" borderId="18" xfId="0" applyFont="1" applyFill="1" applyBorder="1" applyAlignment="1" applyProtection="1">
      <alignment horizontal="left"/>
    </xf>
    <xf numFmtId="0" fontId="2" fillId="0" borderId="7" xfId="0" applyFont="1" applyFill="1" applyBorder="1" applyAlignment="1" applyProtection="1">
      <alignment horizontal="left"/>
    </xf>
    <xf numFmtId="0" fontId="2" fillId="0" borderId="2" xfId="0" applyFont="1" applyFill="1" applyBorder="1" applyAlignment="1" applyProtection="1">
      <alignment horizontal="left"/>
    </xf>
    <xf numFmtId="164" fontId="13" fillId="0" borderId="1" xfId="0" applyNumberFormat="1" applyFont="1" applyFill="1" applyBorder="1" applyAlignment="1" applyProtection="1">
      <alignment horizontal="left"/>
    </xf>
    <xf numFmtId="164" fontId="13" fillId="0" borderId="18" xfId="0" applyNumberFormat="1" applyFont="1" applyFill="1" applyBorder="1" applyAlignment="1" applyProtection="1">
      <alignment horizontal="left"/>
    </xf>
    <xf numFmtId="164" fontId="13" fillId="0" borderId="1" xfId="0" applyNumberFormat="1" applyFont="1" applyFill="1" applyBorder="1" applyAlignment="1" applyProtection="1">
      <alignment horizontal="left" wrapText="1"/>
    </xf>
    <xf numFmtId="164" fontId="13" fillId="0" borderId="18" xfId="0" applyNumberFormat="1" applyFont="1" applyFill="1" applyBorder="1" applyAlignment="1" applyProtection="1">
      <alignment horizontal="left" wrapText="1"/>
    </xf>
    <xf numFmtId="164" fontId="13" fillId="3" borderId="1" xfId="0" applyNumberFormat="1" applyFont="1" applyFill="1" applyBorder="1" applyAlignment="1" applyProtection="1">
      <alignment horizontal="left"/>
    </xf>
    <xf numFmtId="164" fontId="13" fillId="3" borderId="18" xfId="0" applyNumberFormat="1" applyFont="1" applyFill="1" applyBorder="1" applyAlignment="1" applyProtection="1">
      <alignment horizontal="left"/>
    </xf>
    <xf numFmtId="0" fontId="13" fillId="0" borderId="7" xfId="0" applyFont="1" applyFill="1" applyBorder="1" applyAlignment="1" applyProtection="1">
      <alignment horizontal="center"/>
    </xf>
    <xf numFmtId="0" fontId="2" fillId="0" borderId="18" xfId="0" applyFont="1" applyFill="1" applyBorder="1" applyAlignment="1" applyProtection="1">
      <alignment horizontal="center" vertical="center" wrapText="1"/>
    </xf>
    <xf numFmtId="0" fontId="2" fillId="0" borderId="7" xfId="0" applyFont="1" applyFill="1" applyBorder="1" applyAlignment="1" applyProtection="1">
      <alignment horizontal="center" vertical="center" wrapText="1"/>
    </xf>
    <xf numFmtId="0" fontId="2" fillId="0" borderId="2" xfId="0" applyFont="1" applyFill="1" applyBorder="1" applyAlignment="1" applyProtection="1">
      <alignment horizontal="center" vertical="center" wrapText="1"/>
    </xf>
    <xf numFmtId="0" fontId="2" fillId="0" borderId="1" xfId="0" applyFont="1" applyFill="1" applyBorder="1" applyAlignment="1" applyProtection="1">
      <alignment horizontal="center" wrapText="1"/>
    </xf>
    <xf numFmtId="0" fontId="2" fillId="0" borderId="19" xfId="0" applyFont="1" applyFill="1" applyBorder="1" applyAlignment="1" applyProtection="1">
      <alignment horizontal="center" wrapText="1"/>
    </xf>
    <xf numFmtId="0" fontId="13" fillId="0" borderId="1" xfId="0" applyFont="1" applyBorder="1" applyAlignment="1" applyProtection="1">
      <alignment horizontal="center" wrapText="1"/>
    </xf>
    <xf numFmtId="0" fontId="2" fillId="0" borderId="18" xfId="0" applyFont="1" applyFill="1" applyBorder="1" applyAlignment="1" applyProtection="1">
      <alignment horizontal="center"/>
    </xf>
    <xf numFmtId="0" fontId="2" fillId="0" borderId="34" xfId="0" applyFont="1" applyFill="1" applyBorder="1" applyAlignment="1" applyProtection="1">
      <alignment horizontal="center"/>
    </xf>
    <xf numFmtId="0" fontId="2" fillId="0" borderId="7" xfId="0" applyFont="1" applyFill="1" applyBorder="1" applyAlignment="1" applyProtection="1">
      <alignment horizontal="center"/>
    </xf>
    <xf numFmtId="0" fontId="2" fillId="0" borderId="31" xfId="0" applyFont="1" applyFill="1" applyBorder="1" applyAlignment="1" applyProtection="1">
      <alignment horizontal="center"/>
    </xf>
    <xf numFmtId="0" fontId="12" fillId="0" borderId="0" xfId="0" applyFont="1" applyBorder="1" applyAlignment="1" applyProtection="1">
      <alignment horizontal="center"/>
    </xf>
    <xf numFmtId="0" fontId="2" fillId="0" borderId="1" xfId="0" applyFont="1" applyFill="1" applyBorder="1" applyAlignment="1" applyProtection="1"/>
    <xf numFmtId="0" fontId="2" fillId="3" borderId="1" xfId="0" applyFont="1" applyFill="1" applyBorder="1" applyAlignment="1" applyProtection="1">
      <alignment horizontal="left" wrapText="1"/>
    </xf>
    <xf numFmtId="0" fontId="2" fillId="0" borderId="22" xfId="0" applyFont="1" applyFill="1" applyBorder="1" applyAlignment="1" applyProtection="1">
      <alignment horizontal="center"/>
    </xf>
    <xf numFmtId="0" fontId="2" fillId="0" borderId="19" xfId="0" applyFont="1" applyFill="1" applyBorder="1" applyAlignment="1" applyProtection="1">
      <alignment horizontal="center"/>
    </xf>
    <xf numFmtId="0" fontId="13" fillId="0" borderId="19" xfId="0" applyFont="1" applyBorder="1" applyAlignment="1" applyProtection="1">
      <alignment horizontal="center"/>
    </xf>
    <xf numFmtId="14" fontId="13" fillId="0" borderId="7" xfId="0" applyNumberFormat="1" applyFont="1" applyFill="1" applyBorder="1" applyAlignment="1" applyProtection="1">
      <alignment horizontal="center"/>
    </xf>
    <xf numFmtId="14" fontId="13" fillId="0" borderId="2" xfId="0" applyNumberFormat="1" applyFont="1" applyFill="1" applyBorder="1" applyAlignment="1" applyProtection="1">
      <alignment horizontal="center"/>
    </xf>
    <xf numFmtId="0" fontId="13" fillId="0" borderId="7" xfId="0" applyFont="1" applyBorder="1" applyAlignment="1" applyProtection="1">
      <alignment horizontal="center"/>
    </xf>
    <xf numFmtId="0" fontId="13" fillId="0" borderId="31" xfId="0" applyFont="1" applyBorder="1" applyAlignment="1" applyProtection="1">
      <alignment horizontal="center"/>
    </xf>
    <xf numFmtId="0" fontId="2" fillId="0" borderId="1" xfId="0" applyFont="1" applyFill="1" applyBorder="1" applyAlignment="1" applyProtection="1">
      <alignment horizontal="right"/>
    </xf>
    <xf numFmtId="0" fontId="12" fillId="0" borderId="0" xfId="0" applyFont="1" applyFill="1" applyBorder="1" applyAlignment="1" applyProtection="1">
      <alignment horizontal="center"/>
    </xf>
    <xf numFmtId="0" fontId="13" fillId="0" borderId="25" xfId="0" applyFont="1" applyBorder="1" applyAlignment="1" applyProtection="1">
      <alignment horizontal="center"/>
    </xf>
    <xf numFmtId="0" fontId="12" fillId="0" borderId="2" xfId="0" applyFont="1" applyBorder="1" applyAlignment="1" applyProtection="1">
      <alignment horizontal="center"/>
    </xf>
    <xf numFmtId="0" fontId="12" fillId="0" borderId="1" xfId="0" applyFont="1" applyBorder="1" applyAlignment="1" applyProtection="1">
      <alignment horizontal="center"/>
    </xf>
    <xf numFmtId="14" fontId="2" fillId="0" borderId="30" xfId="0" applyNumberFormat="1" applyFont="1" applyFill="1" applyBorder="1" applyAlignment="1" applyProtection="1">
      <alignment horizontal="center"/>
    </xf>
    <xf numFmtId="14" fontId="2" fillId="0" borderId="1" xfId="0" applyNumberFormat="1" applyFont="1" applyFill="1" applyBorder="1" applyAlignment="1" applyProtection="1">
      <alignment horizontal="center"/>
    </xf>
    <xf numFmtId="14" fontId="2" fillId="0" borderId="25" xfId="0" applyNumberFormat="1" applyFont="1" applyFill="1" applyBorder="1" applyAlignment="1" applyProtection="1">
      <alignment horizontal="center"/>
    </xf>
    <xf numFmtId="0" fontId="13" fillId="0" borderId="22" xfId="0" applyFont="1" applyBorder="1" applyAlignment="1" applyProtection="1">
      <alignment horizontal="center"/>
    </xf>
    <xf numFmtId="0" fontId="13" fillId="0" borderId="27" xfId="0" applyFont="1" applyBorder="1" applyAlignment="1" applyProtection="1">
      <alignment horizontal="center"/>
    </xf>
  </cellXfs>
  <cellStyles count="7">
    <cellStyle name="Hyperlink" xfId="1" builtinId="8"/>
    <cellStyle name="Normal" xfId="0" builtinId="0"/>
    <cellStyle name="Normal 2" xfId="2" xr:uid="{00000000-0005-0000-0000-000002000000}"/>
    <cellStyle name="Normal 2 2" xfId="3" xr:uid="{00000000-0005-0000-0000-000003000000}"/>
    <cellStyle name="Normal 3" xfId="4" xr:uid="{00000000-0005-0000-0000-000004000000}"/>
    <cellStyle name="Normal 6" xfId="5" xr:uid="{00000000-0005-0000-0000-000005000000}"/>
    <cellStyle name="Percent" xfId="6"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customXml" Target="../customXml/item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23" Type="http://schemas.microsoft.com/office/2006/relationships/vbaProject" Target="vbaProject.bin"/><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diagrams/colors1.xml><?xml version="1.0" encoding="utf-8"?>
<dgm:colorsDef xmlns:dgm="http://schemas.openxmlformats.org/drawingml/2006/diagram" xmlns:a="http://schemas.openxmlformats.org/drawingml/2006/main" uniqueId="urn:microsoft.com/office/officeart/2005/8/colors/accent1_2">
  <dgm:title val=""/>
  <dgm:desc val=""/>
  <dgm:catLst>
    <dgm:cat type="accent1" pri="11200"/>
  </dgm:catLst>
  <dgm:styleLbl name="node0">
    <dgm:fillClrLst meth="repeat">
      <a:schemeClr val="accent1"/>
    </dgm:fillClrLst>
    <dgm:linClrLst meth="repeat">
      <a:schemeClr val="lt1"/>
    </dgm:linClrLst>
    <dgm:effectClrLst/>
    <dgm:txLinClrLst/>
    <dgm:txFillClrLst/>
    <dgm:txEffectClrLst/>
  </dgm:styleLbl>
  <dgm:styleLbl name="alignNode1">
    <dgm:fillClrLst meth="repeat">
      <a:schemeClr val="accent1"/>
    </dgm:fillClrLst>
    <dgm:linClrLst meth="repeat">
      <a:schemeClr val="accent1"/>
    </dgm:linClrLst>
    <dgm:effectClrLst/>
    <dgm:txLinClrLst/>
    <dgm:txFillClrLst/>
    <dgm:txEffectClrLst/>
  </dgm:styleLbl>
  <dgm:styleLbl name="node1">
    <dgm:fillClrLst meth="repeat">
      <a:schemeClr val="accent1"/>
    </dgm:fillClrLst>
    <dgm:linClrLst meth="repeat">
      <a:schemeClr val="lt1"/>
    </dgm:linClrLst>
    <dgm:effectClrLst/>
    <dgm:txLinClrLst/>
    <dgm:txFillClrLst/>
    <dgm:txEffectClrLst/>
  </dgm:styleLbl>
  <dgm:styleLbl name="lnNode1">
    <dgm:fillClrLst meth="repeat">
      <a:schemeClr val="accent1"/>
    </dgm:fillClrLst>
    <dgm:linClrLst meth="repeat">
      <a:schemeClr val="lt1"/>
    </dgm:linClrLst>
    <dgm:effectClrLst/>
    <dgm:txLinClrLst/>
    <dgm:txFillClrLst/>
    <dgm:txEffectClrLst/>
  </dgm:styleLbl>
  <dgm:styleLbl name="vennNode1">
    <dgm:fillClrLst meth="repeat">
      <a:schemeClr val="accent1">
        <a:alpha val="50000"/>
      </a:schemeClr>
    </dgm:fillClrLst>
    <dgm:linClrLst meth="repeat">
      <a:schemeClr val="lt1"/>
    </dgm:linClrLst>
    <dgm:effectClrLst/>
    <dgm:txLinClrLst/>
    <dgm:txFillClrLst/>
    <dgm:txEffectClrLst/>
  </dgm:styleLbl>
  <dgm:styleLbl name="node2">
    <dgm:fillClrLst meth="repeat">
      <a:schemeClr val="accent1"/>
    </dgm:fillClrLst>
    <dgm:linClrLst meth="repeat">
      <a:schemeClr val="lt1"/>
    </dgm:linClrLst>
    <dgm:effectClrLst/>
    <dgm:txLinClrLst/>
    <dgm:txFillClrLst/>
    <dgm:txEffectClrLst/>
  </dgm:styleLbl>
  <dgm:styleLbl name="node3">
    <dgm:fillClrLst meth="repeat">
      <a:schemeClr val="accent1"/>
    </dgm:fillClrLst>
    <dgm:linClrLst meth="repeat">
      <a:schemeClr val="lt1"/>
    </dgm:linClrLst>
    <dgm:effectClrLst/>
    <dgm:txLinClrLst/>
    <dgm:txFillClrLst/>
    <dgm:txEffectClrLst/>
  </dgm:styleLbl>
  <dgm:styleLbl name="node4">
    <dgm:fillClrLst meth="repeat">
      <a:schemeClr val="accent1"/>
    </dgm:fillClrLst>
    <dgm:linClrLst meth="repeat">
      <a:schemeClr val="lt1"/>
    </dgm:linClrLst>
    <dgm:effectClrLst/>
    <dgm:txLinClrLst/>
    <dgm:txFillClrLst/>
    <dgm:txEffectClrLst/>
  </dgm:styleLbl>
  <dgm:styleLbl name="f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1">
        <a:tint val="60000"/>
      </a:schemeClr>
    </dgm:fillClrLst>
    <dgm:linClrLst meth="repeat">
      <a:schemeClr val="accent1">
        <a:tint val="60000"/>
      </a:schemeClr>
    </dgm:linClrLst>
    <dgm:effectClrLst/>
    <dgm:txLinClrLst/>
    <dgm:txFillClrLst/>
    <dgm:txEffectClrLst/>
  </dgm:styleLbl>
  <dgm:styleLbl name="fgSibTrans2D1">
    <dgm:fillClrLst meth="repeat">
      <a:schemeClr val="accent1">
        <a:tint val="60000"/>
      </a:schemeClr>
    </dgm:fillClrLst>
    <dgm:linClrLst meth="repeat">
      <a:schemeClr val="accent1">
        <a:tint val="60000"/>
      </a:schemeClr>
    </dgm:linClrLst>
    <dgm:effectClrLst/>
    <dgm:txLinClrLst/>
    <dgm:txFillClrLst/>
    <dgm:txEffectClrLst/>
  </dgm:styleLbl>
  <dgm:styleLbl name="bgSibTrans2D1">
    <dgm:fillClrLst meth="repeat">
      <a:schemeClr val="accent1">
        <a:tint val="60000"/>
      </a:schemeClr>
    </dgm:fillClrLst>
    <dgm:linClrLst meth="repeat">
      <a:schemeClr val="accent1">
        <a:tint val="60000"/>
      </a:schemeClr>
    </dgm:linClrLst>
    <dgm:effectClrLst/>
    <dgm:txLinClrLst/>
    <dgm:txFillClrLst/>
    <dgm:txEffectClrLst/>
  </dgm:styleLbl>
  <dgm:styleLbl name="sibTrans1D1">
    <dgm:fillClrLst meth="repeat">
      <a:schemeClr val="accent1"/>
    </dgm:fillClrLst>
    <dgm:linClrLst meth="repeat">
      <a:schemeClr val="accent1"/>
    </dgm:linClrLst>
    <dgm:effectClrLst/>
    <dgm:txLinClrLst/>
    <dgm:txFillClrLst meth="repeat">
      <a:schemeClr val="tx1"/>
    </dgm:txFillClrLst>
    <dgm:txEffectClrLst/>
  </dgm:styleLbl>
  <dgm:styleLbl name="callout">
    <dgm:fillClrLst meth="repeat">
      <a:schemeClr val="accent1"/>
    </dgm:fillClrLst>
    <dgm:linClrLst meth="repeat">
      <a:schemeClr val="accent1">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1"/>
    </dgm:fillClrLst>
    <dgm:linClrLst meth="repeat">
      <a:schemeClr val="lt1"/>
    </dgm:linClrLst>
    <dgm:effectClrLst/>
    <dgm:txLinClrLst/>
    <dgm:txFillClrLst/>
    <dgm:txEffectClrLst/>
  </dgm:styleLbl>
  <dgm:styleLbl name="asst2">
    <dgm:fillClrLst meth="repeat">
      <a:schemeClr val="accent1"/>
    </dgm:fillClrLst>
    <dgm:linClrLst meth="repeat">
      <a:schemeClr val="lt1"/>
    </dgm:linClrLst>
    <dgm:effectClrLst/>
    <dgm:txLinClrLst/>
    <dgm:txFillClrLst/>
    <dgm:txEffectClrLst/>
  </dgm:styleLbl>
  <dgm:styleLbl name="asst3">
    <dgm:fillClrLst meth="repeat">
      <a:schemeClr val="accent1"/>
    </dgm:fillClrLst>
    <dgm:linClrLst meth="repeat">
      <a:schemeClr val="lt1"/>
    </dgm:linClrLst>
    <dgm:effectClrLst/>
    <dgm:txLinClrLst/>
    <dgm:txFillClrLst/>
    <dgm:txEffectClrLst/>
  </dgm:styleLbl>
  <dgm:styleLbl name="asst4">
    <dgm:fillClrLst meth="repeat">
      <a:schemeClr val="accent1"/>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meth="repeat">
      <a:schemeClr val="lt1"/>
    </dgm:txFillClrLst>
    <dgm:txEffectClrLst/>
  </dgm:styleLbl>
  <dgm:styleLbl name="parChTrans2D2">
    <dgm:fillClrLst meth="repeat">
      <a:schemeClr val="accent1"/>
    </dgm:fillClrLst>
    <dgm:linClrLst meth="repeat">
      <a:schemeClr val="accent1"/>
    </dgm:linClrLst>
    <dgm:effectClrLst/>
    <dgm:txLinClrLst/>
    <dgm:txFillClrLst meth="repeat">
      <a:schemeClr val="lt1"/>
    </dgm:txFillClrLst>
    <dgm:txEffectClrLst/>
  </dgm:styleLbl>
  <dgm:styleLbl name="parChTrans2D3">
    <dgm:fillClrLst meth="repeat">
      <a:schemeClr val="accent1"/>
    </dgm:fillClrLst>
    <dgm:linClrLst meth="repeat">
      <a:schemeClr val="accent1"/>
    </dgm:linClrLst>
    <dgm:effectClrLst/>
    <dgm:txLinClrLst/>
    <dgm:txFillClrLst meth="repeat">
      <a:schemeClr val="lt1"/>
    </dgm:txFillClrLst>
    <dgm:txEffectClrLst/>
  </dgm:styleLbl>
  <dgm:styleLbl name="parChTrans2D4">
    <dgm:fillClrLst meth="repeat">
      <a:schemeClr val="accent1"/>
    </dgm:fillClrLst>
    <dgm:linClrLst meth="repeat">
      <a:schemeClr val="accent1"/>
    </dgm:linClrLst>
    <dgm:effectClrLst/>
    <dgm:txLinClrLst/>
    <dgm:txFillClrLst meth="repeat">
      <a:schemeClr val="lt1"/>
    </dgm:txFillClrLst>
    <dgm:txEffectClrLst/>
  </dgm:styleLbl>
  <dgm:styleLbl name="parChTrans1D1">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2">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3">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parChTrans1D4">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solidFgAcc1">
    <dgm:fillClrLst meth="repeat">
      <a:schemeClr val="lt1"/>
    </dgm:fillClrLst>
    <dgm:linClrLst meth="repeat">
      <a:schemeClr val="accent1"/>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accent1"/>
    </dgm:linClrLst>
    <dgm:effectClrLst/>
    <dgm:txLinClrLst/>
    <dgm:txFillClrLst meth="repeat">
      <a:schemeClr val="dk1"/>
    </dgm:txFillClrLst>
    <dgm:txEffectClrLst/>
  </dgm:styleLbl>
  <dgm:styleLbl name="dkBgShp">
    <dgm:fillClrLst meth="repeat">
      <a:schemeClr val="accent1">
        <a:shade val="80000"/>
      </a:schemeClr>
    </dgm:fillClrLst>
    <dgm:linClrLst meth="repeat">
      <a:schemeClr val="accent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data1.xml><?xml version="1.0" encoding="utf-8"?>
<dgm:dataModel xmlns:dgm="http://schemas.openxmlformats.org/drawingml/2006/diagram" xmlns:a="http://schemas.openxmlformats.org/drawingml/2006/main">
  <dgm:ptLst>
    <dgm:pt modelId="{4025C7ED-1433-4347-BB10-1EE9B3FEF685}" type="doc">
      <dgm:prSet loTypeId="urn:microsoft.com/office/officeart/2005/8/layout/StepDownProcess" loCatId="process" qsTypeId="urn:microsoft.com/office/officeart/2005/8/quickstyle/simple1" qsCatId="simple" csTypeId="urn:microsoft.com/office/officeart/2005/8/colors/accent1_2" csCatId="accent1" phldr="1"/>
      <dgm:spPr/>
      <dgm:t>
        <a:bodyPr/>
        <a:lstStyle/>
        <a:p>
          <a:endParaRPr lang="en-US"/>
        </a:p>
      </dgm:t>
    </dgm:pt>
    <dgm:pt modelId="{8C7DCBC4-AB69-494B-A599-73CECB3A9262}">
      <dgm:prSet phldrT="[Text]" custT="1">
        <dgm:style>
          <a:lnRef idx="1">
            <a:schemeClr val="accent1"/>
          </a:lnRef>
          <a:fillRef idx="2">
            <a:schemeClr val="accent1"/>
          </a:fillRef>
          <a:effectRef idx="1">
            <a:schemeClr val="accent1"/>
          </a:effectRef>
          <a:fontRef idx="minor">
            <a:schemeClr val="dk1"/>
          </a:fontRef>
        </dgm:style>
      </dgm:prSet>
      <dgm:spPr/>
      <dgm:t>
        <a:bodyPr/>
        <a:lstStyle/>
        <a:p>
          <a:r>
            <a:rPr lang="en-US" sz="1200"/>
            <a:t>Information</a:t>
          </a:r>
          <a:r>
            <a:rPr lang="en-US" sz="1100"/>
            <a:t> </a:t>
          </a:r>
          <a:r>
            <a:rPr lang="en-US" sz="1200"/>
            <a:t>WorkSheet</a:t>
          </a:r>
        </a:p>
      </dgm:t>
    </dgm:pt>
    <dgm:pt modelId="{3A9B305D-F23C-42C9-98F7-1D7F4A2B7173}" type="parTrans" cxnId="{8E589525-2971-421D-B07B-00362FC7315B}">
      <dgm:prSet/>
      <dgm:spPr/>
      <dgm:t>
        <a:bodyPr/>
        <a:lstStyle/>
        <a:p>
          <a:endParaRPr lang="en-US"/>
        </a:p>
      </dgm:t>
    </dgm:pt>
    <dgm:pt modelId="{DD00EBA0-1D75-4305-BE3B-B0EF9762834A}" type="sibTrans" cxnId="{8E589525-2971-421D-B07B-00362FC7315B}">
      <dgm:prSet/>
      <dgm:spPr/>
      <dgm:t>
        <a:bodyPr/>
        <a:lstStyle/>
        <a:p>
          <a:endParaRPr lang="en-US"/>
        </a:p>
      </dgm:t>
    </dgm:pt>
    <dgm:pt modelId="{60A4B15A-0A1B-4FD4-B301-23F1B2B0057F}">
      <dgm:prSet phldrT="[Text]" custT="1">
        <dgm:style>
          <a:lnRef idx="1">
            <a:schemeClr val="accent1"/>
          </a:lnRef>
          <a:fillRef idx="2">
            <a:schemeClr val="accent1"/>
          </a:fillRef>
          <a:effectRef idx="1">
            <a:schemeClr val="accent1"/>
          </a:effectRef>
          <a:fontRef idx="minor">
            <a:schemeClr val="dk1"/>
          </a:fontRef>
        </dgm:style>
      </dgm:prSet>
      <dgm:spPr/>
      <dgm:t>
        <a:bodyPr/>
        <a:lstStyle/>
        <a:p>
          <a:r>
            <a:rPr lang="en-US" sz="1200"/>
            <a:t>Component Summary Worksheet</a:t>
          </a:r>
        </a:p>
      </dgm:t>
    </dgm:pt>
    <dgm:pt modelId="{1AD88420-40E9-4857-B599-80E01263638D}" type="parTrans" cxnId="{07D737BC-EB45-41F7-8053-C7DEBC7E2F57}">
      <dgm:prSet/>
      <dgm:spPr/>
      <dgm:t>
        <a:bodyPr/>
        <a:lstStyle/>
        <a:p>
          <a:endParaRPr lang="en-US"/>
        </a:p>
      </dgm:t>
    </dgm:pt>
    <dgm:pt modelId="{8F482696-3592-47E9-8EDA-A0E8D0A3127B}" type="sibTrans" cxnId="{07D737BC-EB45-41F7-8053-C7DEBC7E2F57}">
      <dgm:prSet/>
      <dgm:spPr/>
      <dgm:t>
        <a:bodyPr/>
        <a:lstStyle/>
        <a:p>
          <a:endParaRPr lang="en-US"/>
        </a:p>
      </dgm:t>
    </dgm:pt>
    <dgm:pt modelId="{78B25B3C-542D-4F99-9C0B-7B04D56C7241}">
      <dgm:prSet phldrT="[Text]" custT="1">
        <dgm:style>
          <a:lnRef idx="1">
            <a:schemeClr val="accent1"/>
          </a:lnRef>
          <a:fillRef idx="2">
            <a:schemeClr val="accent1"/>
          </a:fillRef>
          <a:effectRef idx="1">
            <a:schemeClr val="accent1"/>
          </a:effectRef>
          <a:fontRef idx="minor">
            <a:schemeClr val="dk1"/>
          </a:fontRef>
        </dgm:style>
      </dgm:prSet>
      <dgm:spPr/>
      <dgm:t>
        <a:bodyPr/>
        <a:lstStyle/>
        <a:p>
          <a:r>
            <a:rPr lang="en-US" sz="1200"/>
            <a:t>Component &amp; Adjustment</a:t>
          </a:r>
          <a:br>
            <a:rPr lang="en-US" sz="1200"/>
          </a:br>
          <a:r>
            <a:rPr lang="en-US" sz="1200"/>
            <a:t>Worksheets</a:t>
          </a:r>
        </a:p>
      </dgm:t>
    </dgm:pt>
    <dgm:pt modelId="{5303EACC-D562-4B51-A1A4-FF10F30B155E}" type="parTrans" cxnId="{496F7250-DC5B-4E52-B11A-F41A9A6D6689}">
      <dgm:prSet/>
      <dgm:spPr/>
      <dgm:t>
        <a:bodyPr/>
        <a:lstStyle/>
        <a:p>
          <a:endParaRPr lang="en-US"/>
        </a:p>
      </dgm:t>
    </dgm:pt>
    <dgm:pt modelId="{279DC6CE-1A31-4C60-AFD7-98AFCAE6CDA6}" type="sibTrans" cxnId="{496F7250-DC5B-4E52-B11A-F41A9A6D6689}">
      <dgm:prSet/>
      <dgm:spPr/>
      <dgm:t>
        <a:bodyPr/>
        <a:lstStyle/>
        <a:p>
          <a:endParaRPr lang="en-US"/>
        </a:p>
      </dgm:t>
    </dgm:pt>
    <dgm:pt modelId="{7906F84E-EFC0-481A-B8E4-61F1609BEDCD}">
      <dgm:prSet phldrT="[Text]" custT="1">
        <dgm:style>
          <a:lnRef idx="1">
            <a:schemeClr val="accent1"/>
          </a:lnRef>
          <a:fillRef idx="2">
            <a:schemeClr val="accent1"/>
          </a:fillRef>
          <a:effectRef idx="1">
            <a:schemeClr val="accent1"/>
          </a:effectRef>
          <a:fontRef idx="minor">
            <a:schemeClr val="dk1"/>
          </a:fontRef>
        </dgm:style>
      </dgm:prSet>
      <dgm:spPr/>
      <dgm:t>
        <a:bodyPr/>
        <a:lstStyle/>
        <a:p>
          <a:r>
            <a:rPr lang="en-US" sz="1200"/>
            <a:t>Component Summary Worksheet </a:t>
          </a:r>
        </a:p>
      </dgm:t>
    </dgm:pt>
    <dgm:pt modelId="{97D27443-06E0-484A-A88D-6423C7213E5B}" type="sibTrans" cxnId="{B49E1B0E-BE1C-4AB7-9946-6209A49EAF80}">
      <dgm:prSet/>
      <dgm:spPr/>
      <dgm:t>
        <a:bodyPr/>
        <a:lstStyle/>
        <a:p>
          <a:endParaRPr lang="en-US"/>
        </a:p>
      </dgm:t>
    </dgm:pt>
    <dgm:pt modelId="{D378CC9F-878B-484D-805F-7547BACA1562}" type="parTrans" cxnId="{B49E1B0E-BE1C-4AB7-9946-6209A49EAF80}">
      <dgm:prSet/>
      <dgm:spPr/>
      <dgm:t>
        <a:bodyPr/>
        <a:lstStyle/>
        <a:p>
          <a:endParaRPr lang="en-US"/>
        </a:p>
      </dgm:t>
    </dgm:pt>
    <dgm:pt modelId="{DE6F6CDA-7AAA-493D-9783-E560080AF30E}">
      <dgm:prSet phldrT="[Text]">
        <dgm:style>
          <a:lnRef idx="1">
            <a:schemeClr val="accent4"/>
          </a:lnRef>
          <a:fillRef idx="2">
            <a:schemeClr val="accent4"/>
          </a:fillRef>
          <a:effectRef idx="1">
            <a:schemeClr val="accent4"/>
          </a:effectRef>
          <a:fontRef idx="minor">
            <a:schemeClr val="dk1"/>
          </a:fontRef>
        </dgm:style>
      </dgm:prSet>
      <dgm:spPr>
        <a:ln>
          <a:solidFill>
            <a:srgbClr val="FFC000"/>
          </a:solidFill>
        </a:ln>
      </dgm:spPr>
      <dgm:t>
        <a:bodyPr/>
        <a:lstStyle/>
        <a:p>
          <a:pPr algn="ctr"/>
          <a:r>
            <a:rPr lang="en-US"/>
            <a:t>Section 3-7</a:t>
          </a:r>
        </a:p>
      </dgm:t>
    </dgm:pt>
    <dgm:pt modelId="{F8A1E99F-46E9-437A-BE81-F039A474630D}" type="parTrans" cxnId="{7EFB60B2-07DC-414C-9888-E105BF89B7AB}">
      <dgm:prSet/>
      <dgm:spPr/>
      <dgm:t>
        <a:bodyPr/>
        <a:lstStyle/>
        <a:p>
          <a:endParaRPr lang="en-US"/>
        </a:p>
      </dgm:t>
    </dgm:pt>
    <dgm:pt modelId="{7C7709A9-4077-442A-83F3-C15754B6E371}" type="sibTrans" cxnId="{7EFB60B2-07DC-414C-9888-E105BF89B7AB}">
      <dgm:prSet/>
      <dgm:spPr/>
      <dgm:t>
        <a:bodyPr/>
        <a:lstStyle/>
        <a:p>
          <a:endParaRPr lang="en-US"/>
        </a:p>
      </dgm:t>
    </dgm:pt>
    <dgm:pt modelId="{AA4955B1-9547-4D67-BAAA-9047B5EF965E}">
      <dgm:prSet phldrT="[Text]" custT="1">
        <dgm:style>
          <a:lnRef idx="1">
            <a:schemeClr val="accent4"/>
          </a:lnRef>
          <a:fillRef idx="2">
            <a:schemeClr val="accent4"/>
          </a:fillRef>
          <a:effectRef idx="1">
            <a:schemeClr val="accent4"/>
          </a:effectRef>
          <a:fontRef idx="minor">
            <a:schemeClr val="dk1"/>
          </a:fontRef>
        </dgm:style>
      </dgm:prSet>
      <dgm:spPr>
        <a:ln>
          <a:solidFill>
            <a:srgbClr val="FFC000"/>
          </a:solidFill>
        </a:ln>
      </dgm:spPr>
      <dgm:t>
        <a:bodyPr/>
        <a:lstStyle/>
        <a:p>
          <a:pPr algn="ctr"/>
          <a:r>
            <a:rPr lang="en-US" sz="1200"/>
            <a:t>Section 1-2</a:t>
          </a:r>
        </a:p>
      </dgm:t>
    </dgm:pt>
    <dgm:pt modelId="{4D09681D-F666-4B14-AA0A-228B6B09B6FA}" type="parTrans" cxnId="{6B48C785-2EE4-46D0-90EC-C894E29776CF}">
      <dgm:prSet/>
      <dgm:spPr/>
      <dgm:t>
        <a:bodyPr/>
        <a:lstStyle/>
        <a:p>
          <a:endParaRPr lang="en-US"/>
        </a:p>
      </dgm:t>
    </dgm:pt>
    <dgm:pt modelId="{740A71EF-F72D-4081-8F7F-6210EA185D4D}" type="sibTrans" cxnId="{6B48C785-2EE4-46D0-90EC-C894E29776CF}">
      <dgm:prSet/>
      <dgm:spPr/>
      <dgm:t>
        <a:bodyPr/>
        <a:lstStyle/>
        <a:p>
          <a:endParaRPr lang="en-US"/>
        </a:p>
      </dgm:t>
    </dgm:pt>
    <dgm:pt modelId="{5FEC03A9-D54C-4063-B67B-E6955A1A264A}" type="pres">
      <dgm:prSet presAssocID="{4025C7ED-1433-4347-BB10-1EE9B3FEF685}" presName="rootnode" presStyleCnt="0">
        <dgm:presLayoutVars>
          <dgm:chMax/>
          <dgm:chPref/>
          <dgm:dir/>
          <dgm:animLvl val="lvl"/>
        </dgm:presLayoutVars>
      </dgm:prSet>
      <dgm:spPr/>
    </dgm:pt>
    <dgm:pt modelId="{90BE845D-5ECB-48BF-A853-01DDC5BA670A}" type="pres">
      <dgm:prSet presAssocID="{8C7DCBC4-AB69-494B-A599-73CECB3A9262}" presName="composite" presStyleCnt="0"/>
      <dgm:spPr/>
    </dgm:pt>
    <dgm:pt modelId="{CE6FBF05-24C1-45AF-8957-AD93FE27CEC2}" type="pres">
      <dgm:prSet presAssocID="{8C7DCBC4-AB69-494B-A599-73CECB3A9262}" presName="bentUpArrow1" presStyleLbl="alignImgPlace1" presStyleIdx="0" presStyleCnt="3"/>
      <dgm:spPr>
        <a:ln>
          <a:solidFill>
            <a:schemeClr val="accent1"/>
          </a:solidFill>
        </a:ln>
      </dgm:spPr>
    </dgm:pt>
    <dgm:pt modelId="{11FADC57-577C-418F-84CF-F15E71B898C1}" type="pres">
      <dgm:prSet presAssocID="{8C7DCBC4-AB69-494B-A599-73CECB3A9262}" presName="ParentText" presStyleLbl="node1" presStyleIdx="0" presStyleCnt="4">
        <dgm:presLayoutVars>
          <dgm:chMax val="1"/>
          <dgm:chPref val="1"/>
          <dgm:bulletEnabled val="1"/>
        </dgm:presLayoutVars>
      </dgm:prSet>
      <dgm:spPr/>
    </dgm:pt>
    <dgm:pt modelId="{8541039B-38A0-4921-BC82-61EFB02031B8}" type="pres">
      <dgm:prSet presAssocID="{8C7DCBC4-AB69-494B-A599-73CECB3A9262}" presName="ChildText" presStyleLbl="revTx" presStyleIdx="0" presStyleCnt="4">
        <dgm:presLayoutVars>
          <dgm:chMax val="0"/>
          <dgm:chPref val="0"/>
          <dgm:bulletEnabled val="1"/>
        </dgm:presLayoutVars>
      </dgm:prSet>
      <dgm:spPr/>
    </dgm:pt>
    <dgm:pt modelId="{92151DCB-F8ED-4510-86D5-5B06E86042E2}" type="pres">
      <dgm:prSet presAssocID="{DD00EBA0-1D75-4305-BE3B-B0EF9762834A}" presName="sibTrans" presStyleCnt="0"/>
      <dgm:spPr/>
    </dgm:pt>
    <dgm:pt modelId="{8869E8D4-2518-45B5-AB0B-577F154B61C4}" type="pres">
      <dgm:prSet presAssocID="{60A4B15A-0A1B-4FD4-B301-23F1B2B0057F}" presName="composite" presStyleCnt="0"/>
      <dgm:spPr/>
    </dgm:pt>
    <dgm:pt modelId="{F6102A45-7469-4214-B3AF-577BD9E4A1FA}" type="pres">
      <dgm:prSet presAssocID="{60A4B15A-0A1B-4FD4-B301-23F1B2B0057F}" presName="bentUpArrow1" presStyleLbl="alignImgPlace1" presStyleIdx="1" presStyleCnt="3"/>
      <dgm:spPr>
        <a:ln>
          <a:solidFill>
            <a:schemeClr val="accent1"/>
          </a:solidFill>
        </a:ln>
      </dgm:spPr>
    </dgm:pt>
    <dgm:pt modelId="{3777FF5B-DD07-4841-9691-1B2E795A5728}" type="pres">
      <dgm:prSet presAssocID="{60A4B15A-0A1B-4FD4-B301-23F1B2B0057F}" presName="ParentText" presStyleLbl="node1" presStyleIdx="1" presStyleCnt="4">
        <dgm:presLayoutVars>
          <dgm:chMax val="1"/>
          <dgm:chPref val="1"/>
          <dgm:bulletEnabled val="1"/>
        </dgm:presLayoutVars>
      </dgm:prSet>
      <dgm:spPr/>
    </dgm:pt>
    <dgm:pt modelId="{D5B161FD-1DC9-4E69-875D-3A4A5FA05D78}" type="pres">
      <dgm:prSet presAssocID="{60A4B15A-0A1B-4FD4-B301-23F1B2B0057F}" presName="ChildText" presStyleLbl="revTx" presStyleIdx="1" presStyleCnt="4">
        <dgm:presLayoutVars>
          <dgm:chMax val="0"/>
          <dgm:chPref val="0"/>
          <dgm:bulletEnabled val="1"/>
        </dgm:presLayoutVars>
      </dgm:prSet>
      <dgm:spPr/>
    </dgm:pt>
    <dgm:pt modelId="{B552160C-B3C7-4B16-8718-70CA1B5C6EDD}" type="pres">
      <dgm:prSet presAssocID="{8F482696-3592-47E9-8EDA-A0E8D0A3127B}" presName="sibTrans" presStyleCnt="0"/>
      <dgm:spPr/>
    </dgm:pt>
    <dgm:pt modelId="{31DC6010-7AF1-442E-A809-85122EBC6812}" type="pres">
      <dgm:prSet presAssocID="{78B25B3C-542D-4F99-9C0B-7B04D56C7241}" presName="composite" presStyleCnt="0"/>
      <dgm:spPr/>
    </dgm:pt>
    <dgm:pt modelId="{762BC45A-B3D7-4C89-BE27-B0FB40064C1B}" type="pres">
      <dgm:prSet presAssocID="{78B25B3C-542D-4F99-9C0B-7B04D56C7241}" presName="bentUpArrow1" presStyleLbl="alignImgPlace1" presStyleIdx="2" presStyleCnt="3"/>
      <dgm:spPr>
        <a:ln>
          <a:solidFill>
            <a:schemeClr val="accent1"/>
          </a:solidFill>
        </a:ln>
      </dgm:spPr>
    </dgm:pt>
    <dgm:pt modelId="{BDDBC546-1CD4-4740-B690-3CF524E0E83F}" type="pres">
      <dgm:prSet presAssocID="{78B25B3C-542D-4F99-9C0B-7B04D56C7241}" presName="ParentText" presStyleLbl="node1" presStyleIdx="2" presStyleCnt="4">
        <dgm:presLayoutVars>
          <dgm:chMax val="1"/>
          <dgm:chPref val="1"/>
          <dgm:bulletEnabled val="1"/>
        </dgm:presLayoutVars>
      </dgm:prSet>
      <dgm:spPr/>
    </dgm:pt>
    <dgm:pt modelId="{0013210A-1BD1-4791-8949-6402BC5EDDE9}" type="pres">
      <dgm:prSet presAssocID="{78B25B3C-542D-4F99-9C0B-7B04D56C7241}" presName="ChildText" presStyleLbl="revTx" presStyleIdx="2" presStyleCnt="4">
        <dgm:presLayoutVars>
          <dgm:chMax val="0"/>
          <dgm:chPref val="0"/>
          <dgm:bulletEnabled val="1"/>
        </dgm:presLayoutVars>
      </dgm:prSet>
      <dgm:spPr/>
    </dgm:pt>
    <dgm:pt modelId="{5FD968B3-14F3-4187-95D8-486298165E7F}" type="pres">
      <dgm:prSet presAssocID="{279DC6CE-1A31-4C60-AFD7-98AFCAE6CDA6}" presName="sibTrans" presStyleCnt="0"/>
      <dgm:spPr/>
    </dgm:pt>
    <dgm:pt modelId="{1A950CC0-A86D-4E69-8D95-8C8CE7FD618E}" type="pres">
      <dgm:prSet presAssocID="{7906F84E-EFC0-481A-B8E4-61F1609BEDCD}" presName="composite" presStyleCnt="0"/>
      <dgm:spPr/>
    </dgm:pt>
    <dgm:pt modelId="{1DC53D90-50FB-48AB-85DF-F6DA7C4B41D2}" type="pres">
      <dgm:prSet presAssocID="{7906F84E-EFC0-481A-B8E4-61F1609BEDCD}" presName="ParentText" presStyleLbl="node1" presStyleIdx="3" presStyleCnt="4">
        <dgm:presLayoutVars>
          <dgm:chMax val="1"/>
          <dgm:chPref val="1"/>
          <dgm:bulletEnabled val="1"/>
        </dgm:presLayoutVars>
      </dgm:prSet>
      <dgm:spPr/>
    </dgm:pt>
    <dgm:pt modelId="{508C161B-F096-4451-A84C-8D444A0957CF}" type="pres">
      <dgm:prSet presAssocID="{7906F84E-EFC0-481A-B8E4-61F1609BEDCD}" presName="FinalChildText" presStyleLbl="revTx" presStyleIdx="3" presStyleCnt="4">
        <dgm:presLayoutVars>
          <dgm:chMax val="0"/>
          <dgm:chPref val="0"/>
          <dgm:bulletEnabled val="1"/>
        </dgm:presLayoutVars>
      </dgm:prSet>
      <dgm:spPr/>
    </dgm:pt>
  </dgm:ptLst>
  <dgm:cxnLst>
    <dgm:cxn modelId="{B49E1B0E-BE1C-4AB7-9946-6209A49EAF80}" srcId="{4025C7ED-1433-4347-BB10-1EE9B3FEF685}" destId="{7906F84E-EFC0-481A-B8E4-61F1609BEDCD}" srcOrd="3" destOrd="0" parTransId="{D378CC9F-878B-484D-805F-7547BACA1562}" sibTransId="{97D27443-06E0-484A-A88D-6423C7213E5B}"/>
    <dgm:cxn modelId="{8E589525-2971-421D-B07B-00362FC7315B}" srcId="{4025C7ED-1433-4347-BB10-1EE9B3FEF685}" destId="{8C7DCBC4-AB69-494B-A599-73CECB3A9262}" srcOrd="0" destOrd="0" parTransId="{3A9B305D-F23C-42C9-98F7-1D7F4A2B7173}" sibTransId="{DD00EBA0-1D75-4305-BE3B-B0EF9762834A}"/>
    <dgm:cxn modelId="{CB5DAE34-22B7-4B8A-9673-3BA275829D89}" type="presOf" srcId="{AA4955B1-9547-4D67-BAAA-9047B5EF965E}" destId="{D5B161FD-1DC9-4E69-875D-3A4A5FA05D78}" srcOrd="0" destOrd="0" presId="urn:microsoft.com/office/officeart/2005/8/layout/StepDownProcess"/>
    <dgm:cxn modelId="{496F7250-DC5B-4E52-B11A-F41A9A6D6689}" srcId="{4025C7ED-1433-4347-BB10-1EE9B3FEF685}" destId="{78B25B3C-542D-4F99-9C0B-7B04D56C7241}" srcOrd="2" destOrd="0" parTransId="{5303EACC-D562-4B51-A1A4-FF10F30B155E}" sibTransId="{279DC6CE-1A31-4C60-AFD7-98AFCAE6CDA6}"/>
    <dgm:cxn modelId="{6B48C785-2EE4-46D0-90EC-C894E29776CF}" srcId="{60A4B15A-0A1B-4FD4-B301-23F1B2B0057F}" destId="{AA4955B1-9547-4D67-BAAA-9047B5EF965E}" srcOrd="0" destOrd="0" parTransId="{4D09681D-F666-4B14-AA0A-228B6B09B6FA}" sibTransId="{740A71EF-F72D-4081-8F7F-6210EA185D4D}"/>
    <dgm:cxn modelId="{1A2ACF8D-E619-4C9F-9C68-0178BE20E41A}" type="presOf" srcId="{78B25B3C-542D-4F99-9C0B-7B04D56C7241}" destId="{BDDBC546-1CD4-4740-B690-3CF524E0E83F}" srcOrd="0" destOrd="0" presId="urn:microsoft.com/office/officeart/2005/8/layout/StepDownProcess"/>
    <dgm:cxn modelId="{930ADB96-126F-499B-9911-6B7B4199F925}" type="presOf" srcId="{4025C7ED-1433-4347-BB10-1EE9B3FEF685}" destId="{5FEC03A9-D54C-4063-B67B-E6955A1A264A}" srcOrd="0" destOrd="0" presId="urn:microsoft.com/office/officeart/2005/8/layout/StepDownProcess"/>
    <dgm:cxn modelId="{806B5498-51A6-4821-B6B9-A435497B5766}" type="presOf" srcId="{DE6F6CDA-7AAA-493D-9783-E560080AF30E}" destId="{508C161B-F096-4451-A84C-8D444A0957CF}" srcOrd="0" destOrd="0" presId="urn:microsoft.com/office/officeart/2005/8/layout/StepDownProcess"/>
    <dgm:cxn modelId="{6C587A9C-71C8-4A47-BA2E-574A98BF4A82}" type="presOf" srcId="{7906F84E-EFC0-481A-B8E4-61F1609BEDCD}" destId="{1DC53D90-50FB-48AB-85DF-F6DA7C4B41D2}" srcOrd="0" destOrd="0" presId="urn:microsoft.com/office/officeart/2005/8/layout/StepDownProcess"/>
    <dgm:cxn modelId="{7EFB60B2-07DC-414C-9888-E105BF89B7AB}" srcId="{7906F84E-EFC0-481A-B8E4-61F1609BEDCD}" destId="{DE6F6CDA-7AAA-493D-9783-E560080AF30E}" srcOrd="0" destOrd="0" parTransId="{F8A1E99F-46E9-437A-BE81-F039A474630D}" sibTransId="{7C7709A9-4077-442A-83F3-C15754B6E371}"/>
    <dgm:cxn modelId="{07D737BC-EB45-41F7-8053-C7DEBC7E2F57}" srcId="{4025C7ED-1433-4347-BB10-1EE9B3FEF685}" destId="{60A4B15A-0A1B-4FD4-B301-23F1B2B0057F}" srcOrd="1" destOrd="0" parTransId="{1AD88420-40E9-4857-B599-80E01263638D}" sibTransId="{8F482696-3592-47E9-8EDA-A0E8D0A3127B}"/>
    <dgm:cxn modelId="{B862C7EA-1F26-4A2E-8452-669937A6D0FD}" type="presOf" srcId="{60A4B15A-0A1B-4FD4-B301-23F1B2B0057F}" destId="{3777FF5B-DD07-4841-9691-1B2E795A5728}" srcOrd="0" destOrd="0" presId="urn:microsoft.com/office/officeart/2005/8/layout/StepDownProcess"/>
    <dgm:cxn modelId="{BA63ACFC-7528-4C11-8A16-0E9C11F510A9}" type="presOf" srcId="{8C7DCBC4-AB69-494B-A599-73CECB3A9262}" destId="{11FADC57-577C-418F-84CF-F15E71B898C1}" srcOrd="0" destOrd="0" presId="urn:microsoft.com/office/officeart/2005/8/layout/StepDownProcess"/>
    <dgm:cxn modelId="{50F95DB9-985C-4229-8C9B-70102E92BD53}" type="presParOf" srcId="{5FEC03A9-D54C-4063-B67B-E6955A1A264A}" destId="{90BE845D-5ECB-48BF-A853-01DDC5BA670A}" srcOrd="0" destOrd="0" presId="urn:microsoft.com/office/officeart/2005/8/layout/StepDownProcess"/>
    <dgm:cxn modelId="{3BA973A9-7270-4854-B66D-1445426C7A0C}" type="presParOf" srcId="{90BE845D-5ECB-48BF-A853-01DDC5BA670A}" destId="{CE6FBF05-24C1-45AF-8957-AD93FE27CEC2}" srcOrd="0" destOrd="0" presId="urn:microsoft.com/office/officeart/2005/8/layout/StepDownProcess"/>
    <dgm:cxn modelId="{263AAC27-DB41-4007-B4D1-12B1BFF7FEAD}" type="presParOf" srcId="{90BE845D-5ECB-48BF-A853-01DDC5BA670A}" destId="{11FADC57-577C-418F-84CF-F15E71B898C1}" srcOrd="1" destOrd="0" presId="urn:microsoft.com/office/officeart/2005/8/layout/StepDownProcess"/>
    <dgm:cxn modelId="{02B1FFBC-1430-49AE-847F-D99D1AB06C3D}" type="presParOf" srcId="{90BE845D-5ECB-48BF-A853-01DDC5BA670A}" destId="{8541039B-38A0-4921-BC82-61EFB02031B8}" srcOrd="2" destOrd="0" presId="urn:microsoft.com/office/officeart/2005/8/layout/StepDownProcess"/>
    <dgm:cxn modelId="{3C7E7DFB-4F0B-4C6C-8E9B-9E6EE7221D8B}" type="presParOf" srcId="{5FEC03A9-D54C-4063-B67B-E6955A1A264A}" destId="{92151DCB-F8ED-4510-86D5-5B06E86042E2}" srcOrd="1" destOrd="0" presId="urn:microsoft.com/office/officeart/2005/8/layout/StepDownProcess"/>
    <dgm:cxn modelId="{2C5BDB3C-69E5-4EA4-9EC8-10511A68DE26}" type="presParOf" srcId="{5FEC03A9-D54C-4063-B67B-E6955A1A264A}" destId="{8869E8D4-2518-45B5-AB0B-577F154B61C4}" srcOrd="2" destOrd="0" presId="urn:microsoft.com/office/officeart/2005/8/layout/StepDownProcess"/>
    <dgm:cxn modelId="{86ED734A-2488-474D-96DB-AFAEB8313CE4}" type="presParOf" srcId="{8869E8D4-2518-45B5-AB0B-577F154B61C4}" destId="{F6102A45-7469-4214-B3AF-577BD9E4A1FA}" srcOrd="0" destOrd="0" presId="urn:microsoft.com/office/officeart/2005/8/layout/StepDownProcess"/>
    <dgm:cxn modelId="{57EC4DFD-C692-4A75-963D-26F7A904DBB6}" type="presParOf" srcId="{8869E8D4-2518-45B5-AB0B-577F154B61C4}" destId="{3777FF5B-DD07-4841-9691-1B2E795A5728}" srcOrd="1" destOrd="0" presId="urn:microsoft.com/office/officeart/2005/8/layout/StepDownProcess"/>
    <dgm:cxn modelId="{29A8BC0D-B5BC-416D-BE17-3B3618D38788}" type="presParOf" srcId="{8869E8D4-2518-45B5-AB0B-577F154B61C4}" destId="{D5B161FD-1DC9-4E69-875D-3A4A5FA05D78}" srcOrd="2" destOrd="0" presId="urn:microsoft.com/office/officeart/2005/8/layout/StepDownProcess"/>
    <dgm:cxn modelId="{AB010204-02C3-4153-9D98-A2425CE15AB6}" type="presParOf" srcId="{5FEC03A9-D54C-4063-B67B-E6955A1A264A}" destId="{B552160C-B3C7-4B16-8718-70CA1B5C6EDD}" srcOrd="3" destOrd="0" presId="urn:microsoft.com/office/officeart/2005/8/layout/StepDownProcess"/>
    <dgm:cxn modelId="{BFBB2249-B1FA-46AA-AEAC-C09EC03AD36F}" type="presParOf" srcId="{5FEC03A9-D54C-4063-B67B-E6955A1A264A}" destId="{31DC6010-7AF1-442E-A809-85122EBC6812}" srcOrd="4" destOrd="0" presId="urn:microsoft.com/office/officeart/2005/8/layout/StepDownProcess"/>
    <dgm:cxn modelId="{384F87DC-015E-4CDE-A557-607BB505520C}" type="presParOf" srcId="{31DC6010-7AF1-442E-A809-85122EBC6812}" destId="{762BC45A-B3D7-4C89-BE27-B0FB40064C1B}" srcOrd="0" destOrd="0" presId="urn:microsoft.com/office/officeart/2005/8/layout/StepDownProcess"/>
    <dgm:cxn modelId="{2D54FC57-65C8-47EE-A297-54B199F81099}" type="presParOf" srcId="{31DC6010-7AF1-442E-A809-85122EBC6812}" destId="{BDDBC546-1CD4-4740-B690-3CF524E0E83F}" srcOrd="1" destOrd="0" presId="urn:microsoft.com/office/officeart/2005/8/layout/StepDownProcess"/>
    <dgm:cxn modelId="{525CD480-81EA-46E5-AD72-8306F88EBEEA}" type="presParOf" srcId="{31DC6010-7AF1-442E-A809-85122EBC6812}" destId="{0013210A-1BD1-4791-8949-6402BC5EDDE9}" srcOrd="2" destOrd="0" presId="urn:microsoft.com/office/officeart/2005/8/layout/StepDownProcess"/>
    <dgm:cxn modelId="{19B65482-2513-4EFC-AB52-1FE1D7C9EE42}" type="presParOf" srcId="{5FEC03A9-D54C-4063-B67B-E6955A1A264A}" destId="{5FD968B3-14F3-4187-95D8-486298165E7F}" srcOrd="5" destOrd="0" presId="urn:microsoft.com/office/officeart/2005/8/layout/StepDownProcess"/>
    <dgm:cxn modelId="{EAF69029-0E2F-4B74-B00F-D099C3B0FEDD}" type="presParOf" srcId="{5FEC03A9-D54C-4063-B67B-E6955A1A264A}" destId="{1A950CC0-A86D-4E69-8D95-8C8CE7FD618E}" srcOrd="6" destOrd="0" presId="urn:microsoft.com/office/officeart/2005/8/layout/StepDownProcess"/>
    <dgm:cxn modelId="{6487914F-16E0-4842-9591-1F48B1636786}" type="presParOf" srcId="{1A950CC0-A86D-4E69-8D95-8C8CE7FD618E}" destId="{1DC53D90-50FB-48AB-85DF-F6DA7C4B41D2}" srcOrd="0" destOrd="0" presId="urn:microsoft.com/office/officeart/2005/8/layout/StepDownProcess"/>
    <dgm:cxn modelId="{2851B926-DBD8-4CD2-AEF1-A228D37DD8B4}" type="presParOf" srcId="{1A950CC0-A86D-4E69-8D95-8C8CE7FD618E}" destId="{508C161B-F096-4451-A84C-8D444A0957CF}" srcOrd="1" destOrd="0" presId="urn:microsoft.com/office/officeart/2005/8/layout/StepDownProcess"/>
  </dgm:cxnLst>
  <dgm:bg/>
  <dgm:whole/>
  <dgm:extLst>
    <a:ext uri="http://schemas.microsoft.com/office/drawing/2008/diagram">
      <dsp:dataModelExt xmlns:dsp="http://schemas.microsoft.com/office/drawing/2008/diagram" relId="rId5" minVer="http://schemas.openxmlformats.org/drawingml/2006/diagram"/>
    </a:ext>
  </dgm:extLst>
</dgm:dataModel>
</file>

<file path=xl/diagrams/drawing1.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CE6FBF05-24C1-45AF-8957-AD93FE27CEC2}">
      <dsp:nvSpPr>
        <dsp:cNvPr id="0" name=""/>
        <dsp:cNvSpPr/>
      </dsp:nvSpPr>
      <dsp:spPr>
        <a:xfrm rot="5400000">
          <a:off x="610134" y="737601"/>
          <a:ext cx="647774" cy="737468"/>
        </a:xfrm>
        <a:prstGeom prst="bentUpArrow">
          <a:avLst>
            <a:gd name="adj1" fmla="val 32840"/>
            <a:gd name="adj2" fmla="val 25000"/>
            <a:gd name="adj3" fmla="val 35780"/>
          </a:avLst>
        </a:prstGeom>
        <a:solidFill>
          <a:schemeClr val="accent1">
            <a:tint val="50000"/>
            <a:hueOff val="0"/>
            <a:satOff val="0"/>
            <a:lumOff val="0"/>
            <a:alphaOff val="0"/>
          </a:schemeClr>
        </a:solidFill>
        <a:ln w="12700" cap="flat" cmpd="sng" algn="ctr">
          <a:solidFill>
            <a:schemeClr val="accent1"/>
          </a:solidFill>
          <a:prstDash val="solid"/>
          <a:miter lim="800000"/>
        </a:ln>
        <a:effectLst/>
      </dsp:spPr>
      <dsp:style>
        <a:lnRef idx="2">
          <a:scrgbClr r="0" g="0" b="0"/>
        </a:lnRef>
        <a:fillRef idx="1">
          <a:scrgbClr r="0" g="0" b="0"/>
        </a:fillRef>
        <a:effectRef idx="0">
          <a:scrgbClr r="0" g="0" b="0"/>
        </a:effectRef>
        <a:fontRef idx="minor"/>
      </dsp:style>
    </dsp:sp>
    <dsp:sp modelId="{11FADC57-577C-418F-84CF-F15E71B898C1}">
      <dsp:nvSpPr>
        <dsp:cNvPr id="0" name=""/>
        <dsp:cNvSpPr/>
      </dsp:nvSpPr>
      <dsp:spPr>
        <a:xfrm>
          <a:off x="438513" y="19530"/>
          <a:ext cx="1090471" cy="763294"/>
        </a:xfrm>
        <a:prstGeom prst="roundRect">
          <a:avLst>
            <a:gd name="adj" fmla="val 16670"/>
          </a:avLst>
        </a:prstGeom>
        <a:gradFill rotWithShape="1">
          <a:gsLst>
            <a:gs pos="0">
              <a:schemeClr val="accent1">
                <a:lumMod val="110000"/>
                <a:satMod val="105000"/>
                <a:tint val="67000"/>
              </a:schemeClr>
            </a:gs>
            <a:gs pos="50000">
              <a:schemeClr val="accent1">
                <a:lumMod val="105000"/>
                <a:satMod val="103000"/>
                <a:tint val="73000"/>
              </a:schemeClr>
            </a:gs>
            <a:gs pos="100000">
              <a:schemeClr val="accent1">
                <a:lumMod val="105000"/>
                <a:satMod val="109000"/>
                <a:tint val="81000"/>
              </a:schemeClr>
            </a:gs>
          </a:gsLst>
          <a:lin ang="5400000" scaled="0"/>
        </a:gradFill>
        <a:ln w="6350" cap="flat" cmpd="sng" algn="ctr">
          <a:solidFill>
            <a:schemeClr val="accent1"/>
          </a:solidFill>
          <a:prstDash val="solid"/>
          <a:miter lim="800000"/>
        </a:ln>
        <a:effectLst/>
      </dsp:spPr>
      <dsp:style>
        <a:lnRef idx="1">
          <a:schemeClr val="accent1"/>
        </a:lnRef>
        <a:fillRef idx="2">
          <a:schemeClr val="accent1"/>
        </a:fillRef>
        <a:effectRef idx="1">
          <a:schemeClr val="accent1"/>
        </a:effectRef>
        <a:fontRef idx="minor">
          <a:schemeClr val="dk1"/>
        </a:fontRef>
      </dsp:style>
      <dsp:txBody>
        <a:bodyPr spcFirstLastPara="0" vert="horz" wrap="square" lIns="45720" tIns="45720" rIns="45720" bIns="45720" numCol="1" spcCol="1270" anchor="ctr" anchorCtr="0">
          <a:noAutofit/>
        </a:bodyPr>
        <a:lstStyle/>
        <a:p>
          <a:pPr marL="0" lvl="0" indent="0" algn="ctr" defTabSz="533400">
            <a:lnSpc>
              <a:spcPct val="90000"/>
            </a:lnSpc>
            <a:spcBef>
              <a:spcPct val="0"/>
            </a:spcBef>
            <a:spcAft>
              <a:spcPct val="35000"/>
            </a:spcAft>
            <a:buNone/>
          </a:pPr>
          <a:r>
            <a:rPr lang="en-US" sz="1200" kern="1200"/>
            <a:t>Information</a:t>
          </a:r>
          <a:r>
            <a:rPr lang="en-US" sz="1100" kern="1200"/>
            <a:t> </a:t>
          </a:r>
          <a:r>
            <a:rPr lang="en-US" sz="1200" kern="1200"/>
            <a:t>WorkSheet</a:t>
          </a:r>
        </a:p>
      </dsp:txBody>
      <dsp:txXfrm>
        <a:off x="475781" y="56798"/>
        <a:ext cx="1015935" cy="688758"/>
      </dsp:txXfrm>
    </dsp:sp>
    <dsp:sp modelId="{8541039B-38A0-4921-BC82-61EFB02031B8}">
      <dsp:nvSpPr>
        <dsp:cNvPr id="0" name=""/>
        <dsp:cNvSpPr/>
      </dsp:nvSpPr>
      <dsp:spPr>
        <a:xfrm>
          <a:off x="1528985" y="92328"/>
          <a:ext cx="793105" cy="616928"/>
        </a:xfrm>
        <a:prstGeom prst="rect">
          <a:avLst/>
        </a:prstGeom>
        <a:noFill/>
        <a:ln>
          <a:noFill/>
        </a:ln>
        <a:effectLst/>
      </dsp:spPr>
      <dsp:style>
        <a:lnRef idx="0">
          <a:scrgbClr r="0" g="0" b="0"/>
        </a:lnRef>
        <a:fillRef idx="0">
          <a:scrgbClr r="0" g="0" b="0"/>
        </a:fillRef>
        <a:effectRef idx="0">
          <a:scrgbClr r="0" g="0" b="0"/>
        </a:effectRef>
        <a:fontRef idx="minor"/>
      </dsp:style>
    </dsp:sp>
    <dsp:sp modelId="{F6102A45-7469-4214-B3AF-577BD9E4A1FA}">
      <dsp:nvSpPr>
        <dsp:cNvPr id="0" name=""/>
        <dsp:cNvSpPr/>
      </dsp:nvSpPr>
      <dsp:spPr>
        <a:xfrm rot="5400000">
          <a:off x="1514251" y="1595033"/>
          <a:ext cx="647774" cy="737468"/>
        </a:xfrm>
        <a:prstGeom prst="bentUpArrow">
          <a:avLst>
            <a:gd name="adj1" fmla="val 32840"/>
            <a:gd name="adj2" fmla="val 25000"/>
            <a:gd name="adj3" fmla="val 35780"/>
          </a:avLst>
        </a:prstGeom>
        <a:solidFill>
          <a:schemeClr val="accent1">
            <a:tint val="50000"/>
            <a:hueOff val="0"/>
            <a:satOff val="0"/>
            <a:lumOff val="0"/>
            <a:alphaOff val="0"/>
          </a:schemeClr>
        </a:solidFill>
        <a:ln w="12700" cap="flat" cmpd="sng" algn="ctr">
          <a:solidFill>
            <a:schemeClr val="accent1"/>
          </a:solidFill>
          <a:prstDash val="solid"/>
          <a:miter lim="800000"/>
        </a:ln>
        <a:effectLst/>
      </dsp:spPr>
      <dsp:style>
        <a:lnRef idx="2">
          <a:scrgbClr r="0" g="0" b="0"/>
        </a:lnRef>
        <a:fillRef idx="1">
          <a:scrgbClr r="0" g="0" b="0"/>
        </a:fillRef>
        <a:effectRef idx="0">
          <a:scrgbClr r="0" g="0" b="0"/>
        </a:effectRef>
        <a:fontRef idx="minor"/>
      </dsp:style>
    </dsp:sp>
    <dsp:sp modelId="{3777FF5B-DD07-4841-9691-1B2E795A5728}">
      <dsp:nvSpPr>
        <dsp:cNvPr id="0" name=""/>
        <dsp:cNvSpPr/>
      </dsp:nvSpPr>
      <dsp:spPr>
        <a:xfrm>
          <a:off x="1342630" y="876962"/>
          <a:ext cx="1090471" cy="763294"/>
        </a:xfrm>
        <a:prstGeom prst="roundRect">
          <a:avLst>
            <a:gd name="adj" fmla="val 16670"/>
          </a:avLst>
        </a:prstGeom>
        <a:gradFill rotWithShape="1">
          <a:gsLst>
            <a:gs pos="0">
              <a:schemeClr val="accent1">
                <a:lumMod val="110000"/>
                <a:satMod val="105000"/>
                <a:tint val="67000"/>
              </a:schemeClr>
            </a:gs>
            <a:gs pos="50000">
              <a:schemeClr val="accent1">
                <a:lumMod val="105000"/>
                <a:satMod val="103000"/>
                <a:tint val="73000"/>
              </a:schemeClr>
            </a:gs>
            <a:gs pos="100000">
              <a:schemeClr val="accent1">
                <a:lumMod val="105000"/>
                <a:satMod val="109000"/>
                <a:tint val="81000"/>
              </a:schemeClr>
            </a:gs>
          </a:gsLst>
          <a:lin ang="5400000" scaled="0"/>
        </a:gradFill>
        <a:ln w="6350" cap="flat" cmpd="sng" algn="ctr">
          <a:solidFill>
            <a:schemeClr val="accent1"/>
          </a:solidFill>
          <a:prstDash val="solid"/>
          <a:miter lim="800000"/>
        </a:ln>
        <a:effectLst/>
      </dsp:spPr>
      <dsp:style>
        <a:lnRef idx="1">
          <a:schemeClr val="accent1"/>
        </a:lnRef>
        <a:fillRef idx="2">
          <a:schemeClr val="accent1"/>
        </a:fillRef>
        <a:effectRef idx="1">
          <a:schemeClr val="accent1"/>
        </a:effectRef>
        <a:fontRef idx="minor">
          <a:schemeClr val="dk1"/>
        </a:fontRef>
      </dsp:style>
      <dsp:txBody>
        <a:bodyPr spcFirstLastPara="0" vert="horz" wrap="square" lIns="45720" tIns="45720" rIns="45720" bIns="45720" numCol="1" spcCol="1270" anchor="ctr" anchorCtr="0">
          <a:noAutofit/>
        </a:bodyPr>
        <a:lstStyle/>
        <a:p>
          <a:pPr marL="0" lvl="0" indent="0" algn="ctr" defTabSz="533400">
            <a:lnSpc>
              <a:spcPct val="90000"/>
            </a:lnSpc>
            <a:spcBef>
              <a:spcPct val="0"/>
            </a:spcBef>
            <a:spcAft>
              <a:spcPct val="35000"/>
            </a:spcAft>
            <a:buNone/>
          </a:pPr>
          <a:r>
            <a:rPr lang="en-US" sz="1200" kern="1200"/>
            <a:t>Component Summary Worksheet</a:t>
          </a:r>
        </a:p>
      </dsp:txBody>
      <dsp:txXfrm>
        <a:off x="1379898" y="914230"/>
        <a:ext cx="1015935" cy="688758"/>
      </dsp:txXfrm>
    </dsp:sp>
    <dsp:sp modelId="{D5B161FD-1DC9-4E69-875D-3A4A5FA05D78}">
      <dsp:nvSpPr>
        <dsp:cNvPr id="0" name=""/>
        <dsp:cNvSpPr/>
      </dsp:nvSpPr>
      <dsp:spPr>
        <a:xfrm>
          <a:off x="2433101" y="949759"/>
          <a:ext cx="793105" cy="616928"/>
        </a:xfrm>
        <a:prstGeom prst="rect">
          <a:avLst/>
        </a:prstGeom>
        <a:gradFill rotWithShape="1">
          <a:gsLst>
            <a:gs pos="0">
              <a:schemeClr val="accent4">
                <a:lumMod val="110000"/>
                <a:satMod val="105000"/>
                <a:tint val="67000"/>
              </a:schemeClr>
            </a:gs>
            <a:gs pos="50000">
              <a:schemeClr val="accent4">
                <a:lumMod val="105000"/>
                <a:satMod val="103000"/>
                <a:tint val="73000"/>
              </a:schemeClr>
            </a:gs>
            <a:gs pos="100000">
              <a:schemeClr val="accent4">
                <a:lumMod val="105000"/>
                <a:satMod val="109000"/>
                <a:tint val="81000"/>
              </a:schemeClr>
            </a:gs>
          </a:gsLst>
          <a:lin ang="5400000" scaled="0"/>
        </a:gradFill>
        <a:ln w="6350" cap="flat" cmpd="sng" algn="ctr">
          <a:solidFill>
            <a:srgbClr val="FFC000"/>
          </a:solidFill>
          <a:prstDash val="solid"/>
          <a:miter lim="800000"/>
        </a:ln>
        <a:effectLst/>
      </dsp:spPr>
      <dsp:style>
        <a:lnRef idx="1">
          <a:schemeClr val="accent4"/>
        </a:lnRef>
        <a:fillRef idx="2">
          <a:schemeClr val="accent4"/>
        </a:fillRef>
        <a:effectRef idx="1">
          <a:schemeClr val="accent4"/>
        </a:effectRef>
        <a:fontRef idx="minor">
          <a:schemeClr val="dk1"/>
        </a:fontRef>
      </dsp:style>
      <dsp:txBody>
        <a:bodyPr spcFirstLastPara="0" vert="horz" wrap="square" lIns="45720" tIns="45720" rIns="45720" bIns="45720" numCol="1" spcCol="1270" anchor="ctr" anchorCtr="0">
          <a:noAutofit/>
        </a:bodyPr>
        <a:lstStyle/>
        <a:p>
          <a:pPr marL="114300" lvl="1" indent="-114300" algn="ctr" defTabSz="533400">
            <a:lnSpc>
              <a:spcPct val="90000"/>
            </a:lnSpc>
            <a:spcBef>
              <a:spcPct val="0"/>
            </a:spcBef>
            <a:spcAft>
              <a:spcPct val="15000"/>
            </a:spcAft>
            <a:buChar char="•"/>
          </a:pPr>
          <a:r>
            <a:rPr lang="en-US" sz="1200" kern="1200"/>
            <a:t>Section 1-2</a:t>
          </a:r>
        </a:p>
      </dsp:txBody>
      <dsp:txXfrm>
        <a:off x="2433101" y="949759"/>
        <a:ext cx="793105" cy="616928"/>
      </dsp:txXfrm>
    </dsp:sp>
    <dsp:sp modelId="{762BC45A-B3D7-4C89-BE27-B0FB40064C1B}">
      <dsp:nvSpPr>
        <dsp:cNvPr id="0" name=""/>
        <dsp:cNvSpPr/>
      </dsp:nvSpPr>
      <dsp:spPr>
        <a:xfrm rot="5400000">
          <a:off x="2418368" y="2452465"/>
          <a:ext cx="647774" cy="737468"/>
        </a:xfrm>
        <a:prstGeom prst="bentUpArrow">
          <a:avLst>
            <a:gd name="adj1" fmla="val 32840"/>
            <a:gd name="adj2" fmla="val 25000"/>
            <a:gd name="adj3" fmla="val 35780"/>
          </a:avLst>
        </a:prstGeom>
        <a:solidFill>
          <a:schemeClr val="accent1">
            <a:tint val="50000"/>
            <a:hueOff val="0"/>
            <a:satOff val="0"/>
            <a:lumOff val="0"/>
            <a:alphaOff val="0"/>
          </a:schemeClr>
        </a:solidFill>
        <a:ln w="12700" cap="flat" cmpd="sng" algn="ctr">
          <a:solidFill>
            <a:schemeClr val="accent1"/>
          </a:solidFill>
          <a:prstDash val="solid"/>
          <a:miter lim="800000"/>
        </a:ln>
        <a:effectLst/>
      </dsp:spPr>
      <dsp:style>
        <a:lnRef idx="2">
          <a:scrgbClr r="0" g="0" b="0"/>
        </a:lnRef>
        <a:fillRef idx="1">
          <a:scrgbClr r="0" g="0" b="0"/>
        </a:fillRef>
        <a:effectRef idx="0">
          <a:scrgbClr r="0" g="0" b="0"/>
        </a:effectRef>
        <a:fontRef idx="minor"/>
      </dsp:style>
    </dsp:sp>
    <dsp:sp modelId="{BDDBC546-1CD4-4740-B690-3CF524E0E83F}">
      <dsp:nvSpPr>
        <dsp:cNvPr id="0" name=""/>
        <dsp:cNvSpPr/>
      </dsp:nvSpPr>
      <dsp:spPr>
        <a:xfrm>
          <a:off x="2246747" y="1734394"/>
          <a:ext cx="1090471" cy="763294"/>
        </a:xfrm>
        <a:prstGeom prst="roundRect">
          <a:avLst>
            <a:gd name="adj" fmla="val 16670"/>
          </a:avLst>
        </a:prstGeom>
        <a:gradFill rotWithShape="1">
          <a:gsLst>
            <a:gs pos="0">
              <a:schemeClr val="accent1">
                <a:lumMod val="110000"/>
                <a:satMod val="105000"/>
                <a:tint val="67000"/>
              </a:schemeClr>
            </a:gs>
            <a:gs pos="50000">
              <a:schemeClr val="accent1">
                <a:lumMod val="105000"/>
                <a:satMod val="103000"/>
                <a:tint val="73000"/>
              </a:schemeClr>
            </a:gs>
            <a:gs pos="100000">
              <a:schemeClr val="accent1">
                <a:lumMod val="105000"/>
                <a:satMod val="109000"/>
                <a:tint val="81000"/>
              </a:schemeClr>
            </a:gs>
          </a:gsLst>
          <a:lin ang="5400000" scaled="0"/>
        </a:gradFill>
        <a:ln w="6350" cap="flat" cmpd="sng" algn="ctr">
          <a:solidFill>
            <a:schemeClr val="accent1"/>
          </a:solidFill>
          <a:prstDash val="solid"/>
          <a:miter lim="800000"/>
        </a:ln>
        <a:effectLst/>
      </dsp:spPr>
      <dsp:style>
        <a:lnRef idx="1">
          <a:schemeClr val="accent1"/>
        </a:lnRef>
        <a:fillRef idx="2">
          <a:schemeClr val="accent1"/>
        </a:fillRef>
        <a:effectRef idx="1">
          <a:schemeClr val="accent1"/>
        </a:effectRef>
        <a:fontRef idx="minor">
          <a:schemeClr val="dk1"/>
        </a:fontRef>
      </dsp:style>
      <dsp:txBody>
        <a:bodyPr spcFirstLastPara="0" vert="horz" wrap="square" lIns="45720" tIns="45720" rIns="45720" bIns="45720" numCol="1" spcCol="1270" anchor="ctr" anchorCtr="0">
          <a:noAutofit/>
        </a:bodyPr>
        <a:lstStyle/>
        <a:p>
          <a:pPr marL="0" lvl="0" indent="0" algn="ctr" defTabSz="533400">
            <a:lnSpc>
              <a:spcPct val="90000"/>
            </a:lnSpc>
            <a:spcBef>
              <a:spcPct val="0"/>
            </a:spcBef>
            <a:spcAft>
              <a:spcPct val="35000"/>
            </a:spcAft>
            <a:buNone/>
          </a:pPr>
          <a:r>
            <a:rPr lang="en-US" sz="1200" kern="1200"/>
            <a:t>Component &amp; Adjustment</a:t>
          </a:r>
          <a:br>
            <a:rPr lang="en-US" sz="1200" kern="1200"/>
          </a:br>
          <a:r>
            <a:rPr lang="en-US" sz="1200" kern="1200"/>
            <a:t>Worksheets</a:t>
          </a:r>
        </a:p>
      </dsp:txBody>
      <dsp:txXfrm>
        <a:off x="2284015" y="1771662"/>
        <a:ext cx="1015935" cy="688758"/>
      </dsp:txXfrm>
    </dsp:sp>
    <dsp:sp modelId="{0013210A-1BD1-4791-8949-6402BC5EDDE9}">
      <dsp:nvSpPr>
        <dsp:cNvPr id="0" name=""/>
        <dsp:cNvSpPr/>
      </dsp:nvSpPr>
      <dsp:spPr>
        <a:xfrm>
          <a:off x="3337218" y="1807191"/>
          <a:ext cx="793105" cy="616928"/>
        </a:xfrm>
        <a:prstGeom prst="rect">
          <a:avLst/>
        </a:prstGeom>
        <a:noFill/>
        <a:ln>
          <a:noFill/>
        </a:ln>
        <a:effectLst/>
      </dsp:spPr>
      <dsp:style>
        <a:lnRef idx="0">
          <a:scrgbClr r="0" g="0" b="0"/>
        </a:lnRef>
        <a:fillRef idx="0">
          <a:scrgbClr r="0" g="0" b="0"/>
        </a:fillRef>
        <a:effectRef idx="0">
          <a:scrgbClr r="0" g="0" b="0"/>
        </a:effectRef>
        <a:fontRef idx="minor"/>
      </dsp:style>
    </dsp:sp>
    <dsp:sp modelId="{1DC53D90-50FB-48AB-85DF-F6DA7C4B41D2}">
      <dsp:nvSpPr>
        <dsp:cNvPr id="0" name=""/>
        <dsp:cNvSpPr/>
      </dsp:nvSpPr>
      <dsp:spPr>
        <a:xfrm>
          <a:off x="3150863" y="2591825"/>
          <a:ext cx="1090471" cy="763294"/>
        </a:xfrm>
        <a:prstGeom prst="roundRect">
          <a:avLst>
            <a:gd name="adj" fmla="val 16670"/>
          </a:avLst>
        </a:prstGeom>
        <a:gradFill rotWithShape="1">
          <a:gsLst>
            <a:gs pos="0">
              <a:schemeClr val="accent1">
                <a:lumMod val="110000"/>
                <a:satMod val="105000"/>
                <a:tint val="67000"/>
              </a:schemeClr>
            </a:gs>
            <a:gs pos="50000">
              <a:schemeClr val="accent1">
                <a:lumMod val="105000"/>
                <a:satMod val="103000"/>
                <a:tint val="73000"/>
              </a:schemeClr>
            </a:gs>
            <a:gs pos="100000">
              <a:schemeClr val="accent1">
                <a:lumMod val="105000"/>
                <a:satMod val="109000"/>
                <a:tint val="81000"/>
              </a:schemeClr>
            </a:gs>
          </a:gsLst>
          <a:lin ang="5400000" scaled="0"/>
        </a:gradFill>
        <a:ln w="6350" cap="flat" cmpd="sng" algn="ctr">
          <a:solidFill>
            <a:schemeClr val="accent1"/>
          </a:solidFill>
          <a:prstDash val="solid"/>
          <a:miter lim="800000"/>
        </a:ln>
        <a:effectLst/>
      </dsp:spPr>
      <dsp:style>
        <a:lnRef idx="1">
          <a:schemeClr val="accent1"/>
        </a:lnRef>
        <a:fillRef idx="2">
          <a:schemeClr val="accent1"/>
        </a:fillRef>
        <a:effectRef idx="1">
          <a:schemeClr val="accent1"/>
        </a:effectRef>
        <a:fontRef idx="minor">
          <a:schemeClr val="dk1"/>
        </a:fontRef>
      </dsp:style>
      <dsp:txBody>
        <a:bodyPr spcFirstLastPara="0" vert="horz" wrap="square" lIns="45720" tIns="45720" rIns="45720" bIns="45720" numCol="1" spcCol="1270" anchor="ctr" anchorCtr="0">
          <a:noAutofit/>
        </a:bodyPr>
        <a:lstStyle/>
        <a:p>
          <a:pPr marL="0" lvl="0" indent="0" algn="ctr" defTabSz="533400">
            <a:lnSpc>
              <a:spcPct val="90000"/>
            </a:lnSpc>
            <a:spcBef>
              <a:spcPct val="0"/>
            </a:spcBef>
            <a:spcAft>
              <a:spcPct val="35000"/>
            </a:spcAft>
            <a:buNone/>
          </a:pPr>
          <a:r>
            <a:rPr lang="en-US" sz="1200" kern="1200"/>
            <a:t>Component Summary Worksheet </a:t>
          </a:r>
        </a:p>
      </dsp:txBody>
      <dsp:txXfrm>
        <a:off x="3188131" y="2629093"/>
        <a:ext cx="1015935" cy="688758"/>
      </dsp:txXfrm>
    </dsp:sp>
    <dsp:sp modelId="{508C161B-F096-4451-A84C-8D444A0957CF}">
      <dsp:nvSpPr>
        <dsp:cNvPr id="0" name=""/>
        <dsp:cNvSpPr/>
      </dsp:nvSpPr>
      <dsp:spPr>
        <a:xfrm>
          <a:off x="4241335" y="2664623"/>
          <a:ext cx="793105" cy="616928"/>
        </a:xfrm>
        <a:prstGeom prst="rect">
          <a:avLst/>
        </a:prstGeom>
        <a:gradFill rotWithShape="1">
          <a:gsLst>
            <a:gs pos="0">
              <a:schemeClr val="accent4">
                <a:lumMod val="110000"/>
                <a:satMod val="105000"/>
                <a:tint val="67000"/>
              </a:schemeClr>
            </a:gs>
            <a:gs pos="50000">
              <a:schemeClr val="accent4">
                <a:lumMod val="105000"/>
                <a:satMod val="103000"/>
                <a:tint val="73000"/>
              </a:schemeClr>
            </a:gs>
            <a:gs pos="100000">
              <a:schemeClr val="accent4">
                <a:lumMod val="105000"/>
                <a:satMod val="109000"/>
                <a:tint val="81000"/>
              </a:schemeClr>
            </a:gs>
          </a:gsLst>
          <a:lin ang="5400000" scaled="0"/>
        </a:gradFill>
        <a:ln w="6350" cap="flat" cmpd="sng" algn="ctr">
          <a:solidFill>
            <a:srgbClr val="FFC000"/>
          </a:solidFill>
          <a:prstDash val="solid"/>
          <a:miter lim="800000"/>
        </a:ln>
        <a:effectLst/>
      </dsp:spPr>
      <dsp:style>
        <a:lnRef idx="1">
          <a:schemeClr val="accent4"/>
        </a:lnRef>
        <a:fillRef idx="2">
          <a:schemeClr val="accent4"/>
        </a:fillRef>
        <a:effectRef idx="1">
          <a:schemeClr val="accent4"/>
        </a:effectRef>
        <a:fontRef idx="minor">
          <a:schemeClr val="dk1"/>
        </a:fontRef>
      </dsp:style>
      <dsp:txBody>
        <a:bodyPr spcFirstLastPara="0" vert="horz" wrap="square" lIns="68580" tIns="68580" rIns="68580" bIns="68580" numCol="1" spcCol="1270" anchor="ctr" anchorCtr="0">
          <a:noAutofit/>
        </a:bodyPr>
        <a:lstStyle/>
        <a:p>
          <a:pPr marL="114300" lvl="1" indent="-114300" algn="ctr" defTabSz="622300">
            <a:lnSpc>
              <a:spcPct val="90000"/>
            </a:lnSpc>
            <a:spcBef>
              <a:spcPct val="0"/>
            </a:spcBef>
            <a:spcAft>
              <a:spcPct val="15000"/>
            </a:spcAft>
            <a:buChar char="•"/>
          </a:pPr>
          <a:r>
            <a:rPr lang="en-US" sz="1400" kern="1200"/>
            <a:t>Section 3-7</a:t>
          </a:r>
        </a:p>
      </dsp:txBody>
      <dsp:txXfrm>
        <a:off x="4241335" y="2664623"/>
        <a:ext cx="793105" cy="616928"/>
      </dsp:txXfrm>
    </dsp:sp>
  </dsp:spTree>
</dsp:drawing>
</file>

<file path=xl/diagrams/layout1.xml><?xml version="1.0" encoding="utf-8"?>
<dgm:layoutDef xmlns:dgm="http://schemas.openxmlformats.org/drawingml/2006/diagram" xmlns:a="http://schemas.openxmlformats.org/drawingml/2006/main" uniqueId="urn:microsoft.com/office/officeart/2005/8/layout/StepDownProcess">
  <dgm:title val=""/>
  <dgm:desc val=""/>
  <dgm:catLst>
    <dgm:cat type="process" pri="1600"/>
  </dgm:catLst>
  <dgm:sampData>
    <dgm:dataModel>
      <dgm:ptLst>
        <dgm:pt modelId="0" type="doc"/>
        <dgm:pt modelId="10">
          <dgm:prSet phldr="1"/>
        </dgm:pt>
        <dgm:pt modelId="11">
          <dgm:prSet phldr="1"/>
        </dgm:pt>
        <dgm:pt modelId="20">
          <dgm:prSet phldr="1"/>
        </dgm:pt>
        <dgm:pt modelId="21">
          <dgm:prSet phldr="1"/>
        </dgm:pt>
        <dgm:pt modelId="30">
          <dgm:prSet phldr="1"/>
        </dgm:pt>
        <dgm:pt modelId="31">
          <dgm:prSet phldr="1"/>
        </dgm:pt>
      </dgm:ptLst>
      <dgm:cxnLst>
        <dgm:cxn modelId="60" srcId="0" destId="10" srcOrd="0" destOrd="0"/>
        <dgm:cxn modelId="12" srcId="10" destId="11" srcOrd="0" destOrd="0"/>
        <dgm:cxn modelId="70" srcId="0" destId="20" srcOrd="1" destOrd="0"/>
        <dgm:cxn modelId="22" srcId="20" destId="21" srcOrd="0" destOrd="0"/>
        <dgm:cxn modelId="80" srcId="0" destId="30" srcOrd="2" destOrd="0"/>
        <dgm:cxn modelId="32" srcId="30" destId="31" srcOrd="0" destOrd="0"/>
      </dgm:cxnLst>
      <dgm:bg/>
      <dgm:whole/>
    </dgm:dataModel>
  </dgm:sampData>
  <dgm:styleData>
    <dgm:dataModel>
      <dgm:ptLst>
        <dgm:pt modelId="0" type="doc"/>
        <dgm:pt modelId="10">
          <dgm:prSet phldr="1"/>
        </dgm:pt>
        <dgm:pt modelId="20">
          <dgm:prSet phldr="1"/>
        </dgm:pt>
      </dgm:ptLst>
      <dgm:cxnLst>
        <dgm:cxn modelId="60" srcId="0" destId="10" srcOrd="0" destOrd="0"/>
        <dgm:cxn modelId="70" srcId="0" destId="20" srcOrd="1" destOrd="0"/>
      </dgm:cxnLst>
      <dgm:bg/>
      <dgm:whole/>
    </dgm:dataModel>
  </dgm:styleData>
  <dgm:clrData>
    <dgm:dataModel>
      <dgm:ptLst>
        <dgm:pt modelId="0" type="doc"/>
        <dgm:pt modelId="10">
          <dgm:prSet phldr="1"/>
        </dgm:pt>
        <dgm:pt modelId="20">
          <dgm:prSet phldr="1"/>
        </dgm:pt>
        <dgm:pt modelId="30">
          <dgm:prSet phldr="1"/>
        </dgm:pt>
        <dgm:pt modelId="40">
          <dgm:prSet phldr="1"/>
        </dgm:pt>
      </dgm:ptLst>
      <dgm:cxnLst>
        <dgm:cxn modelId="60" srcId="0" destId="10" srcOrd="0" destOrd="0"/>
        <dgm:cxn modelId="70" srcId="0" destId="20" srcOrd="1" destOrd="0"/>
        <dgm:cxn modelId="80" srcId="0" destId="30" srcOrd="2" destOrd="0"/>
        <dgm:cxn modelId="90" srcId="0" destId="40" srcOrd="3" destOrd="0"/>
      </dgm:cxnLst>
      <dgm:bg/>
      <dgm:whole/>
    </dgm:dataModel>
  </dgm:clrData>
  <dgm:layoutNode name="rootnode">
    <dgm:varLst>
      <dgm:chMax/>
      <dgm:chPref/>
      <dgm:dir/>
      <dgm:animLvl val="lvl"/>
    </dgm:varLst>
    <dgm:choose name="Name0">
      <dgm:if name="Name1" func="var" arg="dir" op="equ" val="norm">
        <dgm:alg type="snake">
          <dgm:param type="grDir" val="tL"/>
          <dgm:param type="flowDir" val="row"/>
          <dgm:param type="off" val="off"/>
          <dgm:param type="bkpt" val="fixed"/>
          <dgm:param type="bkPtFixedVal" val="1"/>
        </dgm:alg>
      </dgm:if>
      <dgm:else name="Name2">
        <dgm:alg type="snake">
          <dgm:param type="grDir" val="tR"/>
          <dgm:param type="flowDir" val="row"/>
          <dgm:param type="off" val="off"/>
          <dgm:param type="bkpt" val="fixed"/>
          <dgm:param type="bkPtFixedVal" val="1"/>
        </dgm:alg>
      </dgm:else>
    </dgm:choose>
    <dgm:shape xmlns:r="http://schemas.openxmlformats.org/officeDocument/2006/relationships" r:blip="">
      <dgm:adjLst/>
    </dgm:shape>
    <dgm:choose name="Name3">
      <dgm:if name="Name4" func="var" arg="dir" op="equ" val="norm">
        <dgm:constrLst>
          <dgm:constr type="alignOff" forName="rootnode" val="0.48"/>
          <dgm:constr type="primFontSz" for="des" forName="ParentText" val="65"/>
          <dgm:constr type="primFontSz" for="des" forName="ChildText" refType="primFontSz" refFor="des" refForName="ParentText" op="lte"/>
          <dgm:constr type="w" for="ch" forName="composite" refType="w"/>
          <dgm:constr type="h" for="ch" forName="composite" refType="h"/>
          <dgm:constr type="sp" refType="h" refFor="ch" refForName="composite" op="equ" fact="-0.38"/>
        </dgm:constrLst>
      </dgm:if>
      <dgm:else name="Name5">
        <dgm:constrLst>
          <dgm:constr type="alignOff" forName="rootnode" val="0.48"/>
          <dgm:constr type="primFontSz" for="des" forName="ParentText" val="65"/>
          <dgm:constr type="primFontSz" for="des" forName="ChildText" refType="primFontSz" refFor="des" refForName="ParentText" op="lte"/>
          <dgm:constr type="w" for="ch" forName="composite" refType="w"/>
          <dgm:constr type="h" for="ch" forName="composite" refType="h"/>
          <dgm:constr type="sp" refType="h" refFor="ch" refForName="composite" op="equ" fact="-0.38"/>
        </dgm:constrLst>
      </dgm:else>
    </dgm:choose>
    <dgm:forEach name="nodesForEach" axis="ch" ptType="node">
      <dgm:layoutNode name="composite">
        <dgm:alg type="composite">
          <dgm:param type="ar" val="1.2439"/>
        </dgm:alg>
        <dgm:shape xmlns:r="http://schemas.openxmlformats.org/officeDocument/2006/relationships" r:blip="">
          <dgm:adjLst/>
        </dgm:shape>
        <dgm:choose name="Name6">
          <dgm:if name="Name7" func="var" arg="dir" op="equ" val="norm">
            <dgm:constrLst>
              <dgm:constr type="l" for="ch" forName="bentUpArrow1" refType="w" fact="0.07"/>
              <dgm:constr type="t" for="ch" forName="bentUpArrow1" refType="h" fact="0.524"/>
              <dgm:constr type="w" for="ch" forName="bentUpArrow1" refType="w" fact="0.3844"/>
              <dgm:constr type="h" for="ch" forName="bentUpArrow1" refType="h" fact="0.42"/>
              <dgm:constr type="l" for="ch" forName="ParentText" refType="w" fact="0"/>
              <dgm:constr type="t" for="ch" forName="ParentText" refType="h" fact="0"/>
              <dgm:constr type="w" for="ch" forName="ParentText" refType="w" fact="0.5684"/>
              <dgm:constr type="h" for="ch" forName="ParentText" refType="h" fact="0.4949"/>
              <dgm:constr type="l" for="ch" forName="ChildText" refType="w" refFor="ch" refForName="ParentText"/>
              <dgm:constr type="t" for="ch" forName="ChildText" refType="h" fact="0.05"/>
              <dgm:constr type="w" for="ch" forName="ChildText" refType="w" fact="0.4134"/>
              <dgm:constr type="h" for="ch" forName="ChildText" refType="h" fact="0.4"/>
              <dgm:constr type="l" for="ch" forName="FinalChildText" refType="w" refFor="ch" refForName="ParentText"/>
              <dgm:constr type="t" for="ch" forName="FinalChildText" refType="h" fact="0.05"/>
              <dgm:constr type="w" for="ch" forName="FinalChildText" refType="w" fact="0.4134"/>
              <dgm:constr type="h" for="ch" forName="FinalChildText" refType="h" fact="0.4"/>
            </dgm:constrLst>
          </dgm:if>
          <dgm:else name="Name8">
            <dgm:constrLst>
              <dgm:constr type="r" for="ch" forName="bentUpArrow1" refType="w" fact="0.97"/>
              <dgm:constr type="t" for="ch" forName="bentUpArrow1" refType="h" fact="0.524"/>
              <dgm:constr type="w" for="ch" forName="bentUpArrow1" refType="w" fact="0.3844"/>
              <dgm:constr type="h" for="ch" forName="bentUpArrow1" refType="h" fact="0.42"/>
              <dgm:constr type="l" for="ch" forName="ParentText" refType="w" fact="0.4316"/>
              <dgm:constr type="t" for="ch" forName="ParentText" refType="h" fact="0"/>
              <dgm:constr type="w" for="ch" forName="ParentText" refType="w" fact="0.5684"/>
              <dgm:constr type="h" for="ch" forName="ParentText" refType="h" fact="0.4949"/>
              <dgm:constr type="l" for="ch" forName="ChildText" refType="w" fact="0"/>
              <dgm:constr type="t" for="ch" forName="ChildText" refType="h" fact="0.05"/>
              <dgm:constr type="w" for="ch" forName="ChildText" refType="w" fact="0.4134"/>
              <dgm:constr type="h" for="ch" forName="ChildText" refType="h" fact="0.4"/>
              <dgm:constr type="l" for="ch" forName="FinalChildText" refType="w" fact="0"/>
              <dgm:constr type="t" for="ch" forName="FinalChildText" refType="h" fact="0.05"/>
              <dgm:constr type="w" for="ch" forName="FinalChildText" refType="w" fact="0.4134"/>
              <dgm:constr type="h" for="ch" forName="FinalChildText" refType="h" fact="0.4"/>
            </dgm:constrLst>
          </dgm:else>
        </dgm:choose>
        <dgm:choose name="Name9">
          <dgm:if name="Name10" axis="followSib" ptType="node" func="cnt" op="gte" val="1">
            <dgm:layoutNode name="bentUpArrow1" styleLbl="alignImgPlace1">
              <dgm:alg type="sp"/>
              <dgm:choose name="Name11">
                <dgm:if name="Name12" func="var" arg="dir" op="equ" val="norm">
                  <dgm:shape xmlns:r="http://schemas.openxmlformats.org/officeDocument/2006/relationships" rot="90" type="bentUpArrow" r:blip="">
                    <dgm:adjLst>
                      <dgm:adj idx="1" val="0.3284"/>
                      <dgm:adj idx="2" val="0.25"/>
                      <dgm:adj idx="3" val="0.3578"/>
                    </dgm:adjLst>
                  </dgm:shape>
                </dgm:if>
                <dgm:else name="Name13">
                  <dgm:shape xmlns:r="http://schemas.openxmlformats.org/officeDocument/2006/relationships" rot="180" type="bentArrow" r:blip="">
                    <dgm:adjLst>
                      <dgm:adj idx="1" val="0.3284"/>
                      <dgm:adj idx="2" val="0.25"/>
                      <dgm:adj idx="3" val="0.3578"/>
                      <dgm:adj idx="4" val="0"/>
                    </dgm:adjLst>
                  </dgm:shape>
                </dgm:else>
              </dgm:choose>
              <dgm:presOf/>
            </dgm:layoutNode>
          </dgm:if>
          <dgm:else name="Name14"/>
        </dgm:choose>
        <dgm:layoutNode name="ParentText" styleLbl="node1">
          <dgm:varLst>
            <dgm:chMax val="1"/>
            <dgm:chPref val="1"/>
            <dgm:bulletEnabled val="1"/>
          </dgm:varLst>
          <dgm:alg type="tx"/>
          <dgm:shape xmlns:r="http://schemas.openxmlformats.org/officeDocument/2006/relationships" type="roundRect" r:blip="">
            <dgm:adjLst>
              <dgm:adj idx="1" val="0.1667"/>
            </dgm:adjLst>
          </dgm:shape>
          <dgm:presOf axis="self" ptType="node"/>
          <dgm:constrLst>
            <dgm:constr type="lMarg" refType="primFontSz" fact="0.3"/>
            <dgm:constr type="rMarg" refType="primFontSz" fact="0.3"/>
            <dgm:constr type="tMarg" refType="primFontSz" fact="0.3"/>
            <dgm:constr type="bMarg" refType="primFontSz" fact="0.3"/>
          </dgm:constrLst>
          <dgm:ruleLst>
            <dgm:rule type="primFontSz" val="5" fact="NaN" max="NaN"/>
          </dgm:ruleLst>
        </dgm:layoutNode>
        <dgm:choose name="Name15">
          <dgm:if name="Name16" axis="followSib" ptType="node" func="cnt" op="equ" val="0">
            <dgm:choose name="Name17">
              <dgm:if name="Name18" axis="ch" ptType="node" func="cnt" op="gte" val="1">
                <dgm:layoutNode name="FinalChildText" styleLbl="revTx">
                  <dgm:varLst>
                    <dgm:chMax val="0"/>
                    <dgm:chPref val="0"/>
                    <dgm:bulletEnabled val="1"/>
                  </dgm:varLst>
                  <dgm:alg type="tx">
                    <dgm:param type="stBulletLvl" val="1"/>
                    <dgm:param type="txAnchorVertCh" val="mid"/>
                    <dgm:param type="parTxLTRAlign" val="l"/>
                  </dgm:alg>
                  <dgm:shape xmlns:r="http://schemas.openxmlformats.org/officeDocument/2006/relationships" type="rect" r:blip="">
                    <dgm:adjLst/>
                  </dgm:shape>
                  <dgm:presOf axis="des" ptType="node"/>
                  <dgm:constrLst>
                    <dgm:constr type="lMarg" refType="primFontSz" fact="0.3"/>
                    <dgm:constr type="rMarg" refType="primFontSz" fact="0.3"/>
                    <dgm:constr type="tMarg" refType="primFontSz" fact="0.3"/>
                    <dgm:constr type="bMarg" refType="primFontSz" fact="0.3"/>
                  </dgm:constrLst>
                  <dgm:ruleLst>
                    <dgm:rule type="primFontSz" val="5" fact="NaN" max="NaN"/>
                  </dgm:ruleLst>
                </dgm:layoutNode>
              </dgm:if>
              <dgm:else name="Name19"/>
            </dgm:choose>
          </dgm:if>
          <dgm:else name="Name20">
            <dgm:layoutNode name="ChildText" styleLbl="revTx">
              <dgm:varLst>
                <dgm:chMax val="0"/>
                <dgm:chPref val="0"/>
                <dgm:bulletEnabled val="1"/>
              </dgm:varLst>
              <dgm:alg type="tx">
                <dgm:param type="stBulletLvl" val="1"/>
                <dgm:param type="txAnchorVertCh" val="mid"/>
                <dgm:param type="parTxLTRAlign" val="l"/>
              </dgm:alg>
              <dgm:shape xmlns:r="http://schemas.openxmlformats.org/officeDocument/2006/relationships" type="rect" r:blip="">
                <dgm:adjLst/>
              </dgm:shape>
              <dgm:presOf axis="des" ptType="node"/>
              <dgm:constrLst>
                <dgm:constr type="lMarg" refType="primFontSz" fact="0.3"/>
                <dgm:constr type="rMarg" refType="primFontSz" fact="0.3"/>
                <dgm:constr type="tMarg" refType="primFontSz" fact="0.3"/>
                <dgm:constr type="bMarg" refType="primFontSz" fact="0.3"/>
              </dgm:constrLst>
              <dgm:ruleLst>
                <dgm:rule type="primFontSz" val="5" fact="NaN" max="NaN"/>
              </dgm:ruleLst>
            </dgm:layoutNode>
          </dgm:else>
        </dgm:choose>
      </dgm:layoutNode>
      <dgm:forEach name="sibTransForEach" axis="followSib" ptType="sibTrans" cnt="1">
        <dgm:layoutNode name="sibTrans">
          <dgm:alg type="sp"/>
          <dgm:shape xmlns:r="http://schemas.openxmlformats.org/officeDocument/2006/relationships" r:blip="">
            <dgm:adjLst/>
          </dgm:shape>
        </dgm:layoutNode>
      </dgm:forEach>
    </dgm:forEach>
  </dgm:layoutNode>
</dgm:layoutDef>
</file>

<file path=xl/diagrams/quickStyle1.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rawings/_rels/drawing2.xml.rels><?xml version="1.0" encoding="UTF-8" standalone="yes"?>
<Relationships xmlns="http://schemas.openxmlformats.org/package/2006/relationships"><Relationship Id="rId3" Type="http://schemas.openxmlformats.org/officeDocument/2006/relationships/diagramQuickStyle" Target="../diagrams/quickStyle1.xml"/><Relationship Id="rId2" Type="http://schemas.openxmlformats.org/officeDocument/2006/relationships/diagramLayout" Target="../diagrams/layout1.xml"/><Relationship Id="rId1" Type="http://schemas.openxmlformats.org/officeDocument/2006/relationships/diagramData" Target="../diagrams/data1.xml"/><Relationship Id="rId5" Type="http://schemas.microsoft.com/office/2007/relationships/diagramDrawing" Target="../diagrams/drawing1.xml"/><Relationship Id="rId4" Type="http://schemas.openxmlformats.org/officeDocument/2006/relationships/diagramColors" Target="../diagrams/colors1.xml"/></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457200</xdr:colOff>
          <xdr:row>4</xdr:row>
          <xdr:rowOff>38100</xdr:rowOff>
        </xdr:from>
        <xdr:to>
          <xdr:col>3</xdr:col>
          <xdr:colOff>457200</xdr:colOff>
          <xdr:row>9</xdr:row>
          <xdr:rowOff>0</xdr:rowOff>
        </xdr:to>
        <xdr:sp macro="" textlink="">
          <xdr:nvSpPr>
            <xdr:cNvPr id="2052" name="Button 4" hidden="1">
              <a:extLst>
                <a:ext uri="{63B3BB69-23CF-44E3-9099-C40C66FF867C}">
                  <a14:compatExt spid="_x0000_s2052"/>
                </a:ext>
                <a:ext uri="{FF2B5EF4-FFF2-40B4-BE49-F238E27FC236}">
                  <a16:creationId xmlns:a16="http://schemas.microsoft.com/office/drawing/2014/main" id="{00000000-0008-0000-0000-0000040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Lock All Sheets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457200</xdr:colOff>
          <xdr:row>10</xdr:row>
          <xdr:rowOff>95250</xdr:rowOff>
        </xdr:from>
        <xdr:to>
          <xdr:col>3</xdr:col>
          <xdr:colOff>457200</xdr:colOff>
          <xdr:row>15</xdr:row>
          <xdr:rowOff>57150</xdr:rowOff>
        </xdr:to>
        <xdr:sp macro="" textlink="">
          <xdr:nvSpPr>
            <xdr:cNvPr id="2053" name="Button 5" hidden="1">
              <a:extLst>
                <a:ext uri="{63B3BB69-23CF-44E3-9099-C40C66FF867C}">
                  <a14:compatExt spid="_x0000_s2053"/>
                </a:ext>
                <a:ext uri="{FF2B5EF4-FFF2-40B4-BE49-F238E27FC236}">
                  <a16:creationId xmlns:a16="http://schemas.microsoft.com/office/drawing/2014/main" id="{00000000-0008-0000-0000-0000050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Unlock All Sheets</a:t>
              </a:r>
            </a:p>
          </xdr:txBody>
        </xdr:sp>
        <xdr:clientData fPrintsWithSheet="0"/>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2</xdr:col>
      <xdr:colOff>5995146</xdr:colOff>
      <xdr:row>9</xdr:row>
      <xdr:rowOff>246530</xdr:rowOff>
    </xdr:from>
    <xdr:to>
      <xdr:col>11</xdr:col>
      <xdr:colOff>152399</xdr:colOff>
      <xdr:row>15</xdr:row>
      <xdr:rowOff>354106</xdr:rowOff>
    </xdr:to>
    <xdr:graphicFrame macro="">
      <xdr:nvGraphicFramePr>
        <xdr:cNvPr id="2" name="Diagram 1" descr="Step 1 Information worksheet.&#10;Step 2 Section 1 and 2 is component summary worksheet.   &#10;Step 3 Component and adjustment worksheets. &#10;Step 4 Section 3 through 7 is component summary worksheet. &#10;" title="A R  E R visualization of data flow diagram ">
          <a:extLst>
            <a:ext uri="{FF2B5EF4-FFF2-40B4-BE49-F238E27FC236}">
              <a16:creationId xmlns:a16="http://schemas.microsoft.com/office/drawing/2014/main" id="{00000000-0008-0000-0100-000002000000}"/>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 r:lo="rId2" r:qs="rId3" r:cs="rId4"/>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dimension ref="A1:F28"/>
  <sheetViews>
    <sheetView workbookViewId="0">
      <selection activeCell="H19" sqref="H19"/>
    </sheetView>
  </sheetViews>
  <sheetFormatPr defaultRowHeight="15" x14ac:dyDescent="0.2"/>
  <cols>
    <col min="1" max="16384" width="9.140625" style="350"/>
  </cols>
  <sheetData>
    <row r="1" spans="1:6" ht="15.75" x14ac:dyDescent="0.25">
      <c r="A1" s="136" t="s">
        <v>308</v>
      </c>
    </row>
    <row r="2" spans="1:6" x14ac:dyDescent="0.2">
      <c r="A2" s="353" t="s">
        <v>312</v>
      </c>
    </row>
    <row r="3" spans="1:6" x14ac:dyDescent="0.2">
      <c r="A3" s="350" t="s">
        <v>309</v>
      </c>
    </row>
    <row r="16" spans="1:6" x14ac:dyDescent="0.2">
      <c r="F16" s="355"/>
    </row>
    <row r="26" spans="5:6" x14ac:dyDescent="0.2">
      <c r="E26" s="357"/>
    </row>
    <row r="28" spans="5:6" x14ac:dyDescent="0.2">
      <c r="F28" s="354"/>
    </row>
  </sheetData>
  <sheetProtection sheet="1" objects="1" scenarios="1" formatColumns="0" formatRows="0"/>
  <pageMargins left="0.7" right="0.7" top="0.75" bottom="0.75" header="0.3" footer="0.3"/>
  <pageSetup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52" r:id="rId4" name="Button 4">
              <controlPr defaultSize="0" print="0" autoFill="0" autoPict="0" macro="[0]!Protect_Worksheet">
                <anchor moveWithCells="1" sizeWithCells="1">
                  <from>
                    <xdr:col>0</xdr:col>
                    <xdr:colOff>457200</xdr:colOff>
                    <xdr:row>4</xdr:row>
                    <xdr:rowOff>38100</xdr:rowOff>
                  </from>
                  <to>
                    <xdr:col>3</xdr:col>
                    <xdr:colOff>457200</xdr:colOff>
                    <xdr:row>9</xdr:row>
                    <xdr:rowOff>0</xdr:rowOff>
                  </to>
                </anchor>
              </controlPr>
            </control>
          </mc:Choice>
        </mc:AlternateContent>
        <mc:AlternateContent xmlns:mc="http://schemas.openxmlformats.org/markup-compatibility/2006">
          <mc:Choice Requires="x14">
            <control shapeId="2053" r:id="rId5" name="Button 5">
              <controlPr defaultSize="0" print="0" autoFill="0" autoPict="0" macro="[0]!Unprotect_Worksheet">
                <anchor moveWithCells="1" sizeWithCells="1">
                  <from>
                    <xdr:col>0</xdr:col>
                    <xdr:colOff>457200</xdr:colOff>
                    <xdr:row>10</xdr:row>
                    <xdr:rowOff>95250</xdr:rowOff>
                  </from>
                  <to>
                    <xdr:col>3</xdr:col>
                    <xdr:colOff>457200</xdr:colOff>
                    <xdr:row>15</xdr:row>
                    <xdr:rowOff>57150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autoPageBreaks="0"/>
  </sheetPr>
  <dimension ref="A1:K17"/>
  <sheetViews>
    <sheetView showGridLines="0" tabSelected="1" zoomScale="70" zoomScaleNormal="70" zoomScaleSheetLayoutView="100" workbookViewId="0">
      <selection activeCell="B4" sqref="B4"/>
    </sheetView>
  </sheetViews>
  <sheetFormatPr defaultColWidth="0" defaultRowHeight="15" zeroHeight="1" x14ac:dyDescent="0.2"/>
  <cols>
    <col min="1" max="1" width="2.7109375" style="87" customWidth="1"/>
    <col min="2" max="2" width="44.28515625" style="87" customWidth="1"/>
    <col min="3" max="3" width="98.85546875" style="87" customWidth="1"/>
    <col min="4" max="11" width="9.140625" style="87" customWidth="1"/>
    <col min="12" max="16384" width="9.140625" style="87" hidden="1"/>
  </cols>
  <sheetData>
    <row r="1" spans="1:7" ht="21" customHeight="1" x14ac:dyDescent="0.2">
      <c r="A1" s="3"/>
      <c r="B1" s="137" t="s">
        <v>271</v>
      </c>
      <c r="C1" s="3"/>
    </row>
    <row r="2" spans="1:7" ht="18" x14ac:dyDescent="0.25">
      <c r="A2" s="3"/>
      <c r="B2" s="138" t="s">
        <v>0</v>
      </c>
      <c r="C2" s="3"/>
    </row>
    <row r="3" spans="1:7" ht="18" x14ac:dyDescent="0.2">
      <c r="B3" s="359" t="s">
        <v>319</v>
      </c>
    </row>
    <row r="4" spans="1:7" ht="11.25" customHeight="1" x14ac:dyDescent="0.25">
      <c r="B4" s="136"/>
    </row>
    <row r="5" spans="1:7" ht="39.950000000000003" customHeight="1" x14ac:dyDescent="0.2">
      <c r="B5" s="395" t="s">
        <v>298</v>
      </c>
      <c r="C5" s="395"/>
      <c r="F5" s="334"/>
    </row>
    <row r="6" spans="1:7" ht="55.5" customHeight="1" x14ac:dyDescent="0.2">
      <c r="B6" s="396" t="s">
        <v>316</v>
      </c>
      <c r="C6" s="396"/>
      <c r="F6" s="332"/>
      <c r="G6" s="334"/>
    </row>
    <row r="7" spans="1:7" ht="39.950000000000003" customHeight="1" x14ac:dyDescent="0.2">
      <c r="B7" s="396" t="s">
        <v>300</v>
      </c>
      <c r="C7" s="396"/>
      <c r="E7" s="332"/>
      <c r="F7" s="333"/>
    </row>
    <row r="8" spans="1:7" ht="39.950000000000003" customHeight="1" x14ac:dyDescent="0.2">
      <c r="B8" s="396" t="s">
        <v>299</v>
      </c>
      <c r="C8" s="396"/>
      <c r="D8" s="331"/>
    </row>
    <row r="9" spans="1:7" x14ac:dyDescent="0.2"/>
    <row r="10" spans="1:7" ht="29.25" customHeight="1" x14ac:dyDescent="0.2">
      <c r="B10" s="395" t="s">
        <v>303</v>
      </c>
      <c r="C10" s="395" t="s">
        <v>311</v>
      </c>
    </row>
    <row r="11" spans="1:7" ht="18" customHeight="1" x14ac:dyDescent="0.2">
      <c r="B11" s="395"/>
      <c r="C11" s="395"/>
    </row>
    <row r="12" spans="1:7" ht="60.75" customHeight="1" x14ac:dyDescent="0.2">
      <c r="B12" s="392" t="s">
        <v>304</v>
      </c>
      <c r="C12" s="356" t="s">
        <v>314</v>
      </c>
    </row>
    <row r="13" spans="1:7" ht="42" customHeight="1" x14ac:dyDescent="0.2">
      <c r="B13" s="393"/>
      <c r="C13" s="203" t="s">
        <v>302</v>
      </c>
    </row>
    <row r="14" spans="1:7" ht="53.25" customHeight="1" x14ac:dyDescent="0.2">
      <c r="B14" s="394"/>
      <c r="C14" s="356" t="s">
        <v>315</v>
      </c>
    </row>
    <row r="15" spans="1:7" ht="54" customHeight="1" x14ac:dyDescent="0.2">
      <c r="B15" s="358" t="s">
        <v>305</v>
      </c>
      <c r="C15" s="203" t="s">
        <v>301</v>
      </c>
    </row>
    <row r="16" spans="1:7" ht="50.25" customHeight="1" x14ac:dyDescent="0.2">
      <c r="B16" s="203" t="s">
        <v>306</v>
      </c>
      <c r="C16" s="203" t="s">
        <v>307</v>
      </c>
    </row>
    <row r="17" spans="2:2" hidden="1" x14ac:dyDescent="0.2">
      <c r="B17" s="350"/>
    </row>
  </sheetData>
  <sheetProtection formatColumns="0" formatRows="0" selectLockedCells="1"/>
  <mergeCells count="7">
    <mergeCell ref="B12:B14"/>
    <mergeCell ref="B10:B11"/>
    <mergeCell ref="C10:C11"/>
    <mergeCell ref="B5:C5"/>
    <mergeCell ref="B6:C6"/>
    <mergeCell ref="B7:C7"/>
    <mergeCell ref="B8:C8"/>
  </mergeCells>
  <pageMargins left="0.7" right="0.7" top="1.2395833333333299" bottom="0.75" header="0.3" footer="0.3"/>
  <pageSetup paperSize="17" scale="85" orientation="landscape" r:id="rId1"/>
  <headerFooter>
    <oddHeader>&amp;C&amp;"Arial,Regular"&amp;14Annual Mental Health Services Act Revenue and Expenditure Report
Fiscal Year 2016-17
ARER Instructions</oddHeader>
    <oddFooter>&amp;CPage &amp;P of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pageSetUpPr autoPageBreaks="0"/>
  </sheetPr>
  <dimension ref="A1:D15"/>
  <sheetViews>
    <sheetView showGridLines="0" zoomScaleNormal="100" workbookViewId="0">
      <selection activeCell="D10" sqref="D10"/>
    </sheetView>
  </sheetViews>
  <sheetFormatPr defaultColWidth="0" defaultRowHeight="15" zeroHeight="1" x14ac:dyDescent="0.2"/>
  <cols>
    <col min="1" max="1" width="2.7109375" style="217" customWidth="1"/>
    <col min="2" max="2" width="6.7109375" style="217" customWidth="1"/>
    <col min="3" max="4" width="50.7109375" style="217" customWidth="1"/>
    <col min="5" max="7" width="9.140625" style="217" hidden="1" customWidth="1"/>
    <col min="8" max="16384" width="9.140625" style="217" hidden="1"/>
  </cols>
  <sheetData>
    <row r="1" spans="1:4" ht="18" x14ac:dyDescent="0.2">
      <c r="A1" s="216"/>
      <c r="B1" s="340" t="s">
        <v>271</v>
      </c>
      <c r="C1" s="1"/>
      <c r="D1" s="360"/>
    </row>
    <row r="2" spans="1:4" ht="18" x14ac:dyDescent="0.2">
      <c r="A2" s="216"/>
      <c r="B2" s="340" t="s">
        <v>0</v>
      </c>
      <c r="C2" s="1"/>
      <c r="D2" s="360"/>
    </row>
    <row r="3" spans="1:4" ht="18" x14ac:dyDescent="0.2">
      <c r="A3" s="216"/>
      <c r="B3" s="340" t="s">
        <v>240</v>
      </c>
      <c r="C3" s="1"/>
      <c r="D3" s="360"/>
    </row>
    <row r="4" spans="1:4" x14ac:dyDescent="0.2">
      <c r="A4" s="216"/>
      <c r="B4" s="216"/>
      <c r="C4" s="216"/>
      <c r="D4" s="361"/>
    </row>
    <row r="5" spans="1:4" ht="34.5" customHeight="1" x14ac:dyDescent="0.2">
      <c r="A5" s="216"/>
      <c r="B5" s="284">
        <v>1</v>
      </c>
      <c r="C5" s="219" t="s">
        <v>3</v>
      </c>
      <c r="D5" s="362">
        <f ca="1">NOW()</f>
        <v>44144.476150462964</v>
      </c>
    </row>
    <row r="6" spans="1:4" ht="34.5" customHeight="1" x14ac:dyDescent="0.2">
      <c r="A6" s="216"/>
      <c r="B6" s="284">
        <v>2</v>
      </c>
      <c r="C6" s="219" t="s">
        <v>2</v>
      </c>
      <c r="D6" s="363" t="s">
        <v>78</v>
      </c>
    </row>
    <row r="7" spans="1:4" ht="34.5" customHeight="1" x14ac:dyDescent="0.2">
      <c r="A7" s="216"/>
      <c r="B7" s="284">
        <v>3</v>
      </c>
      <c r="C7" s="220" t="s">
        <v>98</v>
      </c>
      <c r="D7" s="221" t="e">
        <f>IF(ISBLANK(D6),"",VLOOKUP(D6,Info_County_Code,2))</f>
        <v>#REF!</v>
      </c>
    </row>
    <row r="8" spans="1:4" ht="34.5" customHeight="1" x14ac:dyDescent="0.2">
      <c r="A8" s="216"/>
      <c r="B8" s="284">
        <v>4</v>
      </c>
      <c r="C8" s="219" t="s">
        <v>99</v>
      </c>
      <c r="D8" s="390" t="s">
        <v>340</v>
      </c>
    </row>
    <row r="9" spans="1:4" ht="34.5" customHeight="1" x14ac:dyDescent="0.2">
      <c r="A9" s="216"/>
      <c r="B9" s="284">
        <v>5</v>
      </c>
      <c r="C9" s="219" t="s">
        <v>100</v>
      </c>
      <c r="D9" s="387" t="s">
        <v>338</v>
      </c>
    </row>
    <row r="10" spans="1:4" ht="34.5" customHeight="1" x14ac:dyDescent="0.2">
      <c r="A10" s="216"/>
      <c r="B10" s="284">
        <v>6</v>
      </c>
      <c r="C10" s="219" t="s">
        <v>101</v>
      </c>
      <c r="D10" s="391" t="s">
        <v>341</v>
      </c>
    </row>
    <row r="11" spans="1:4" ht="34.5" customHeight="1" x14ac:dyDescent="0.2">
      <c r="A11" s="216"/>
      <c r="B11" s="284">
        <v>7</v>
      </c>
      <c r="C11" s="222" t="s">
        <v>158</v>
      </c>
      <c r="D11" s="223" t="e">
        <f>IF(ISBLANK(D6),"",VLOOKUP(D6,County_Population,5,FALSE))</f>
        <v>#REF!</v>
      </c>
    </row>
    <row r="12" spans="1:4" ht="34.5" customHeight="1" x14ac:dyDescent="0.2">
      <c r="A12" s="216"/>
      <c r="B12" s="284">
        <v>8</v>
      </c>
      <c r="C12" s="219" t="s">
        <v>97</v>
      </c>
      <c r="D12" s="387" t="s">
        <v>334</v>
      </c>
    </row>
    <row r="13" spans="1:4" ht="34.5" customHeight="1" x14ac:dyDescent="0.2">
      <c r="A13" s="216"/>
      <c r="B13" s="284">
        <v>9</v>
      </c>
      <c r="C13" s="224" t="s">
        <v>186</v>
      </c>
      <c r="D13" s="388" t="s">
        <v>335</v>
      </c>
    </row>
    <row r="14" spans="1:4" ht="34.5" customHeight="1" x14ac:dyDescent="0.2">
      <c r="A14" s="216"/>
      <c r="B14" s="284">
        <v>10</v>
      </c>
      <c r="C14" s="224" t="s">
        <v>196</v>
      </c>
      <c r="D14" s="388" t="s">
        <v>336</v>
      </c>
    </row>
    <row r="15" spans="1:4" ht="34.5" customHeight="1" x14ac:dyDescent="0.2">
      <c r="A15" s="216"/>
      <c r="B15" s="284">
        <v>11</v>
      </c>
      <c r="C15" s="219" t="s">
        <v>187</v>
      </c>
      <c r="D15" s="389" t="s">
        <v>337</v>
      </c>
    </row>
  </sheetData>
  <sheetProtection sheet="1" objects="1" scenarios="1" formatColumns="0" formatRows="0" selectLockedCells="1"/>
  <dataValidations count="1">
    <dataValidation type="list" allowBlank="1" showInputMessage="1" showErrorMessage="1" sqref="D6" xr:uid="{00000000-0002-0000-0200-000000000000}">
      <formula1>County</formula1>
    </dataValidation>
  </dataValidations>
  <pageMargins left="0.25" right="0.25" top="1.194375" bottom="0.75" header="0.3" footer="0.3"/>
  <pageSetup paperSize="17" orientation="landscape" r:id="rId1"/>
  <headerFooter>
    <oddHeader xml:space="preserve">&amp;C&amp;"Arial,Regular"&amp;16Annual Mental Health Services Act Revenue and Expenditure Report for                   
Fiscal Year 2016-17      
Information
</oddHeader>
    <oddFooter>&amp;C&amp;"Arial,Regular"&amp;14Page &amp;P of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autoPageBreaks="0"/>
  </sheetPr>
  <dimension ref="A1:N107"/>
  <sheetViews>
    <sheetView showGridLines="0" view="pageBreakPreview" zoomScale="70" zoomScaleNormal="80" zoomScaleSheetLayoutView="70" workbookViewId="0">
      <pane xSplit="3" ySplit="14" topLeftCell="D25" activePane="bottomRight" state="frozen"/>
      <selection pane="topRight" activeCell="D1" sqref="D1"/>
      <selection pane="bottomLeft" activeCell="A15" sqref="A15"/>
      <selection pane="bottomRight" activeCell="I32" sqref="I32"/>
    </sheetView>
  </sheetViews>
  <sheetFormatPr defaultColWidth="0" defaultRowHeight="15" zeroHeight="1" x14ac:dyDescent="0.2"/>
  <cols>
    <col min="1" max="1" width="2.7109375" style="12" customWidth="1"/>
    <col min="2" max="2" width="6.7109375" style="12" customWidth="1"/>
    <col min="3" max="3" width="68.28515625" style="12" customWidth="1"/>
    <col min="4" max="4" width="17.7109375" style="12" customWidth="1"/>
    <col min="5" max="6" width="18" style="12" customWidth="1"/>
    <col min="7" max="13" width="15.7109375" style="12" customWidth="1"/>
    <col min="14" max="14" width="20.7109375" style="12" customWidth="1"/>
    <col min="15" max="15" width="9.140625" style="12" hidden="1" customWidth="1"/>
    <col min="16" max="16384" width="9.140625" style="12" hidden="1"/>
  </cols>
  <sheetData>
    <row r="1" spans="1:14" ht="21" customHeight="1" x14ac:dyDescent="0.2">
      <c r="A1" s="3"/>
      <c r="B1" s="137" t="s">
        <v>271</v>
      </c>
      <c r="C1" s="3"/>
      <c r="D1" s="3"/>
      <c r="E1" s="3"/>
      <c r="F1" s="3"/>
      <c r="G1" s="3"/>
      <c r="H1" s="3"/>
      <c r="I1" s="3"/>
      <c r="J1" s="3"/>
      <c r="K1" s="3"/>
      <c r="L1" s="3"/>
      <c r="M1" s="3"/>
      <c r="N1" s="3"/>
    </row>
    <row r="2" spans="1:14" ht="18" x14ac:dyDescent="0.25">
      <c r="A2" s="3"/>
      <c r="B2" s="138" t="s">
        <v>0</v>
      </c>
      <c r="C2" s="3"/>
      <c r="D2" s="104"/>
      <c r="E2" s="104"/>
      <c r="F2" s="104"/>
      <c r="G2" s="104"/>
      <c r="H2" s="104"/>
      <c r="I2" s="3"/>
      <c r="J2" s="3"/>
      <c r="K2" s="3"/>
      <c r="L2" s="3"/>
      <c r="M2" s="3"/>
      <c r="N2" s="3"/>
    </row>
    <row r="3" spans="1:14" ht="18" x14ac:dyDescent="0.25">
      <c r="A3" s="3"/>
      <c r="B3" s="138" t="s">
        <v>318</v>
      </c>
      <c r="C3" s="104"/>
      <c r="D3" s="104"/>
      <c r="E3" s="104"/>
      <c r="F3" s="104"/>
      <c r="G3" s="104"/>
      <c r="H3" s="104"/>
      <c r="I3" s="3"/>
      <c r="J3" s="3"/>
      <c r="K3" s="3"/>
      <c r="L3" s="3"/>
      <c r="M3" s="3"/>
      <c r="N3" s="3"/>
    </row>
    <row r="4" spans="1:14" ht="15.75" x14ac:dyDescent="0.2">
      <c r="A4" s="3"/>
      <c r="B4" s="3"/>
      <c r="C4" s="104"/>
      <c r="D4" s="104"/>
      <c r="E4" s="104"/>
      <c r="F4" s="104"/>
      <c r="G4" s="104"/>
      <c r="H4" s="104"/>
      <c r="I4" s="3"/>
      <c r="J4" s="3"/>
      <c r="K4" s="3"/>
      <c r="L4" s="3"/>
      <c r="M4" s="3"/>
      <c r="N4" s="3"/>
    </row>
    <row r="5" spans="1:14" ht="15.75" x14ac:dyDescent="0.25">
      <c r="A5" s="3"/>
      <c r="B5" s="397" t="s">
        <v>2</v>
      </c>
      <c r="C5" s="397"/>
      <c r="D5" s="53" t="str">
        <f>IF(ISBLANK('1. Information'!D6),"",'1. Information'!D6)</f>
        <v>Shasta</v>
      </c>
      <c r="E5" s="3"/>
      <c r="F5" s="204" t="s">
        <v>3</v>
      </c>
      <c r="G5" s="53">
        <f ca="1">IF(ISBLANK('1. Information'!D5),"",'1. Information'!D5)</f>
        <v>44144.476150462964</v>
      </c>
      <c r="H5" s="3"/>
      <c r="I5" s="337"/>
      <c r="J5" s="3"/>
      <c r="K5" s="3"/>
      <c r="L5" s="3"/>
      <c r="M5" s="3"/>
      <c r="N5" s="3"/>
    </row>
    <row r="6" spans="1:14" x14ac:dyDescent="0.2">
      <c r="A6" s="4"/>
      <c r="B6" s="4"/>
      <c r="C6" s="4"/>
      <c r="D6" s="4"/>
      <c r="E6" s="4"/>
      <c r="F6" s="4"/>
      <c r="G6" s="6"/>
      <c r="H6" s="4"/>
      <c r="I6" s="4"/>
      <c r="J6" s="4"/>
      <c r="K6" s="4"/>
      <c r="L6" s="4"/>
      <c r="M6" s="4"/>
      <c r="N6" s="4"/>
    </row>
    <row r="7" spans="1:14" ht="15.75" x14ac:dyDescent="0.25">
      <c r="A7" s="4"/>
      <c r="B7" s="4"/>
      <c r="C7" s="7"/>
      <c r="D7" s="8"/>
      <c r="E7" s="56" t="s">
        <v>59</v>
      </c>
      <c r="F7" s="4"/>
      <c r="G7" s="6"/>
      <c r="H7" s="4"/>
      <c r="I7" s="4"/>
      <c r="J7" s="4"/>
      <c r="K7" s="4"/>
      <c r="L7" s="4"/>
      <c r="M7" s="4"/>
      <c r="N7" s="4"/>
    </row>
    <row r="8" spans="1:14" ht="15.75" x14ac:dyDescent="0.25">
      <c r="A8" s="4"/>
      <c r="B8" s="4"/>
      <c r="C8" s="9"/>
      <c r="D8" s="2"/>
      <c r="E8" s="5" t="s">
        <v>197</v>
      </c>
      <c r="F8" s="4"/>
      <c r="G8" s="6"/>
      <c r="H8" s="4"/>
      <c r="I8" s="4"/>
      <c r="J8" s="4"/>
      <c r="K8" s="4"/>
      <c r="L8" s="4"/>
      <c r="M8" s="4"/>
      <c r="N8" s="4"/>
    </row>
    <row r="9" spans="1:14" ht="15.75" x14ac:dyDescent="0.25">
      <c r="A9" s="4"/>
      <c r="B9" s="56">
        <v>1</v>
      </c>
      <c r="C9" s="205" t="s">
        <v>40</v>
      </c>
      <c r="D9" s="10">
        <f>'3. CSS'!F14+'4. PEI'!F14+'5. INN'!F14+'6. WET'!F14+'7. CFTN'!F14</f>
        <v>0</v>
      </c>
      <c r="E9" s="11" t="str">
        <f>IF(AND(N33&gt;0,D9&gt;0),D9/N33,"")</f>
        <v/>
      </c>
      <c r="F9" s="352" t="s">
        <v>310</v>
      </c>
      <c r="G9" s="6"/>
      <c r="H9" s="4"/>
      <c r="I9" s="4"/>
      <c r="J9" s="4"/>
      <c r="K9" s="4"/>
      <c r="L9" s="4"/>
      <c r="M9" s="4"/>
      <c r="N9" s="4"/>
    </row>
    <row r="10" spans="1:14" ht="15.75" x14ac:dyDescent="0.25">
      <c r="A10" s="4"/>
      <c r="B10" s="56">
        <v>2</v>
      </c>
      <c r="C10" s="205" t="s">
        <v>41</v>
      </c>
      <c r="D10" s="10">
        <f>'3. CSS'!F15+'4. PEI'!F15+'5. INN'!F17+'6. WET'!F15+'7. CFTN'!F16+'7. CFTN'!F17</f>
        <v>0</v>
      </c>
      <c r="E10" s="13"/>
      <c r="F10" s="213"/>
      <c r="G10" s="4"/>
      <c r="H10" s="4"/>
      <c r="I10" s="4"/>
      <c r="J10" s="4"/>
      <c r="K10" s="4"/>
      <c r="L10" s="4"/>
      <c r="M10" s="4"/>
      <c r="N10" s="4"/>
    </row>
    <row r="11" spans="1:14" ht="15.75" x14ac:dyDescent="0.25">
      <c r="A11" s="4"/>
      <c r="B11" s="56">
        <v>3</v>
      </c>
      <c r="C11" s="205" t="s">
        <v>42</v>
      </c>
      <c r="D11" s="10">
        <f>'3. CSS'!F16+'4. PEI'!F16+'5. INN'!F15+'5. INN'!F16+'6. WET'!F16+'7. CFTN'!F18+'7. CFTN'!F19</f>
        <v>1599134</v>
      </c>
      <c r="E11" s="13"/>
      <c r="F11" s="213"/>
      <c r="G11" s="4"/>
      <c r="H11" s="4"/>
      <c r="I11" s="4"/>
      <c r="J11" s="4"/>
      <c r="K11" s="4"/>
      <c r="L11" s="4"/>
      <c r="M11" s="4"/>
      <c r="N11" s="4"/>
    </row>
    <row r="12" spans="1:14" ht="15.75" x14ac:dyDescent="0.25">
      <c r="A12" s="4"/>
      <c r="B12" s="4"/>
      <c r="C12" s="7"/>
      <c r="D12" s="214"/>
      <c r="E12" s="214"/>
      <c r="F12" s="214"/>
      <c r="G12" s="214"/>
      <c r="H12" s="214"/>
      <c r="I12" s="214"/>
      <c r="J12" s="214"/>
      <c r="K12" s="214"/>
      <c r="L12" s="214"/>
      <c r="M12" s="214"/>
      <c r="N12" s="214"/>
    </row>
    <row r="13" spans="1:14" ht="15.75" x14ac:dyDescent="0.25">
      <c r="A13" s="4"/>
      <c r="B13" s="4"/>
      <c r="C13" s="14"/>
      <c r="D13" s="72" t="s">
        <v>59</v>
      </c>
      <c r="E13" s="72" t="s">
        <v>61</v>
      </c>
      <c r="F13" s="72" t="s">
        <v>65</v>
      </c>
      <c r="G13" s="72" t="s">
        <v>245</v>
      </c>
      <c r="H13" s="56" t="s">
        <v>246</v>
      </c>
      <c r="I13" s="56" t="s">
        <v>247</v>
      </c>
      <c r="J13" s="56" t="s">
        <v>256</v>
      </c>
      <c r="K13" s="56" t="s">
        <v>248</v>
      </c>
      <c r="L13" s="56" t="s">
        <v>249</v>
      </c>
      <c r="M13" s="56" t="s">
        <v>250</v>
      </c>
      <c r="N13" s="56" t="s">
        <v>251</v>
      </c>
    </row>
    <row r="14" spans="1:14" ht="24" customHeight="1" x14ac:dyDescent="0.25">
      <c r="A14" s="97"/>
      <c r="B14" s="16"/>
      <c r="C14" s="17"/>
      <c r="D14" s="18" t="s">
        <v>68</v>
      </c>
      <c r="E14" s="18" t="s">
        <v>69</v>
      </c>
      <c r="F14" s="18" t="s">
        <v>70</v>
      </c>
      <c r="G14" s="18" t="s">
        <v>71</v>
      </c>
      <c r="H14" s="18" t="s">
        <v>72</v>
      </c>
      <c r="I14" s="18" t="s">
        <v>73</v>
      </c>
      <c r="J14" s="18" t="s">
        <v>74</v>
      </c>
      <c r="K14" s="18" t="s">
        <v>90</v>
      </c>
      <c r="L14" s="18" t="s">
        <v>75</v>
      </c>
      <c r="M14" s="18" t="s">
        <v>76</v>
      </c>
      <c r="N14" s="18" t="s">
        <v>55</v>
      </c>
    </row>
    <row r="15" spans="1:14" ht="24" customHeight="1" x14ac:dyDescent="0.25">
      <c r="A15" s="97"/>
      <c r="B15" s="215" t="s">
        <v>273</v>
      </c>
      <c r="C15" s="94"/>
      <c r="D15" s="95"/>
      <c r="E15" s="96"/>
      <c r="F15" s="96"/>
      <c r="G15" s="96"/>
      <c r="H15" s="96"/>
      <c r="I15" s="96"/>
      <c r="J15" s="96"/>
      <c r="K15" s="96"/>
      <c r="L15" s="96"/>
      <c r="M15" s="96"/>
      <c r="N15" s="96"/>
    </row>
    <row r="16" spans="1:14" ht="24" customHeight="1" x14ac:dyDescent="0.2">
      <c r="A16" s="97"/>
      <c r="B16" s="99">
        <v>1</v>
      </c>
      <c r="C16" s="19" t="s">
        <v>43</v>
      </c>
      <c r="D16" s="20"/>
      <c r="E16" s="20"/>
      <c r="F16" s="20"/>
      <c r="G16" s="30"/>
      <c r="H16" s="20"/>
      <c r="I16" s="20"/>
      <c r="J16" s="20"/>
      <c r="K16" s="20"/>
      <c r="L16" s="38"/>
      <c r="M16" s="37"/>
      <c r="N16" s="41">
        <f>M16</f>
        <v>0</v>
      </c>
    </row>
    <row r="17" spans="1:14" ht="24" customHeight="1" x14ac:dyDescent="0.2">
      <c r="A17" s="97"/>
      <c r="B17" s="99">
        <v>2</v>
      </c>
      <c r="C17" s="19" t="s">
        <v>44</v>
      </c>
      <c r="D17" s="20"/>
      <c r="E17" s="20"/>
      <c r="F17" s="38"/>
      <c r="G17" s="37"/>
      <c r="H17" s="43"/>
      <c r="I17" s="20"/>
      <c r="J17" s="20"/>
      <c r="K17" s="20"/>
      <c r="L17" s="20"/>
      <c r="M17" s="46"/>
      <c r="N17" s="21">
        <f>SUM(D17:L17)</f>
        <v>0</v>
      </c>
    </row>
    <row r="18" spans="1:14" ht="24" customHeight="1" x14ac:dyDescent="0.2">
      <c r="A18" s="97"/>
      <c r="B18" s="99">
        <v>3</v>
      </c>
      <c r="C18" s="19" t="s">
        <v>45</v>
      </c>
      <c r="D18" s="30"/>
      <c r="E18" s="30"/>
      <c r="F18" s="42"/>
      <c r="G18" s="37">
        <v>21856</v>
      </c>
      <c r="H18" s="37">
        <v>-6269</v>
      </c>
      <c r="I18" s="43"/>
      <c r="J18" s="30"/>
      <c r="K18" s="30"/>
      <c r="L18" s="20"/>
      <c r="M18" s="20"/>
      <c r="N18" s="21">
        <f t="shared" ref="N18:N26" si="0">SUM(D18:L18)</f>
        <v>15587</v>
      </c>
    </row>
    <row r="19" spans="1:14" ht="24" customHeight="1" x14ac:dyDescent="0.2">
      <c r="A19" s="97"/>
      <c r="B19" s="99">
        <v>4</v>
      </c>
      <c r="C19" s="19" t="s">
        <v>46</v>
      </c>
      <c r="D19" s="37"/>
      <c r="E19" s="37"/>
      <c r="F19" s="37"/>
      <c r="G19" s="37"/>
      <c r="H19" s="37">
        <v>471600</v>
      </c>
      <c r="I19" s="37"/>
      <c r="J19" s="37"/>
      <c r="K19" s="37"/>
      <c r="L19" s="40"/>
      <c r="M19" s="20"/>
      <c r="N19" s="21">
        <f t="shared" si="0"/>
        <v>471600</v>
      </c>
    </row>
    <row r="20" spans="1:14" ht="24" customHeight="1" x14ac:dyDescent="0.2">
      <c r="A20" s="97"/>
      <c r="B20" s="99">
        <v>5</v>
      </c>
      <c r="C20" s="19" t="s">
        <v>47</v>
      </c>
      <c r="D20" s="37"/>
      <c r="E20" s="37"/>
      <c r="F20" s="37"/>
      <c r="G20" s="37"/>
      <c r="H20" s="37"/>
      <c r="I20" s="37"/>
      <c r="J20" s="37"/>
      <c r="K20" s="37"/>
      <c r="L20" s="40"/>
      <c r="M20" s="20"/>
      <c r="N20" s="21">
        <f t="shared" si="0"/>
        <v>0</v>
      </c>
    </row>
    <row r="21" spans="1:14" ht="24" customHeight="1" x14ac:dyDescent="0.2">
      <c r="A21" s="97"/>
      <c r="B21" s="99">
        <v>6</v>
      </c>
      <c r="C21" s="19" t="s">
        <v>48</v>
      </c>
      <c r="D21" s="37"/>
      <c r="E21" s="37"/>
      <c r="F21" s="37">
        <v>842402</v>
      </c>
      <c r="G21" s="37"/>
      <c r="H21" s="37"/>
      <c r="I21" s="37"/>
      <c r="J21" s="37"/>
      <c r="K21" s="37"/>
      <c r="L21" s="40"/>
      <c r="M21" s="20"/>
      <c r="N21" s="21">
        <f t="shared" si="0"/>
        <v>842402</v>
      </c>
    </row>
    <row r="22" spans="1:14" ht="24" customHeight="1" x14ac:dyDescent="0.2">
      <c r="A22" s="97"/>
      <c r="B22" s="99">
        <v>7</v>
      </c>
      <c r="C22" s="19" t="s">
        <v>49</v>
      </c>
      <c r="D22" s="37"/>
      <c r="E22" s="37"/>
      <c r="F22" s="37">
        <v>233494</v>
      </c>
      <c r="G22" s="37"/>
      <c r="H22" s="37"/>
      <c r="I22" s="37">
        <v>658</v>
      </c>
      <c r="J22" s="37"/>
      <c r="K22" s="37"/>
      <c r="L22" s="40"/>
      <c r="M22" s="20"/>
      <c r="N22" s="21">
        <f t="shared" si="0"/>
        <v>234152</v>
      </c>
    </row>
    <row r="23" spans="1:14" ht="24" customHeight="1" x14ac:dyDescent="0.2">
      <c r="A23" s="97"/>
      <c r="B23" s="99">
        <v>8</v>
      </c>
      <c r="C23" s="19" t="s">
        <v>50</v>
      </c>
      <c r="D23" s="37"/>
      <c r="E23" s="37"/>
      <c r="F23" s="37">
        <v>385867</v>
      </c>
      <c r="G23" s="37"/>
      <c r="H23" s="37"/>
      <c r="I23" s="44"/>
      <c r="J23" s="37"/>
      <c r="K23" s="45"/>
      <c r="L23" s="20"/>
      <c r="M23" s="20"/>
      <c r="N23" s="21">
        <f t="shared" si="0"/>
        <v>385867</v>
      </c>
    </row>
    <row r="24" spans="1:14" ht="24" customHeight="1" x14ac:dyDescent="0.2">
      <c r="A24" s="97"/>
      <c r="B24" s="99">
        <v>9</v>
      </c>
      <c r="C24" s="19" t="s">
        <v>51</v>
      </c>
      <c r="D24" s="37"/>
      <c r="E24" s="37"/>
      <c r="F24" s="37">
        <v>299962</v>
      </c>
      <c r="G24" s="37"/>
      <c r="H24" s="37"/>
      <c r="I24" s="39"/>
      <c r="J24" s="37"/>
      <c r="K24" s="40"/>
      <c r="L24" s="30"/>
      <c r="M24" s="20"/>
      <c r="N24" s="21">
        <f t="shared" si="0"/>
        <v>299962</v>
      </c>
    </row>
    <row r="25" spans="1:14" ht="24" customHeight="1" x14ac:dyDescent="0.2">
      <c r="A25" s="97"/>
      <c r="B25" s="99">
        <v>10</v>
      </c>
      <c r="C25" s="19" t="s">
        <v>52</v>
      </c>
      <c r="D25" s="37"/>
      <c r="E25" s="37">
        <v>1665214</v>
      </c>
      <c r="F25" s="37">
        <v>415144</v>
      </c>
      <c r="G25" s="37"/>
      <c r="H25" s="37"/>
      <c r="I25" s="39"/>
      <c r="J25" s="37"/>
      <c r="K25" s="39"/>
      <c r="L25" s="37"/>
      <c r="M25" s="40"/>
      <c r="N25" s="21">
        <f t="shared" si="0"/>
        <v>2080358</v>
      </c>
    </row>
    <row r="26" spans="1:14" ht="24" customHeight="1" x14ac:dyDescent="0.2">
      <c r="A26" s="97"/>
      <c r="B26" s="99">
        <v>11</v>
      </c>
      <c r="C26" s="19" t="s">
        <v>53</v>
      </c>
      <c r="D26" s="181">
        <v>4082505</v>
      </c>
      <c r="E26" s="181">
        <v>1319510</v>
      </c>
      <c r="F26" s="181">
        <v>347240</v>
      </c>
      <c r="G26" s="181"/>
      <c r="H26" s="181"/>
      <c r="I26" s="139"/>
      <c r="J26" s="181"/>
      <c r="K26" s="139"/>
      <c r="L26" s="181"/>
      <c r="M26" s="43"/>
      <c r="N26" s="21">
        <f t="shared" si="0"/>
        <v>5749255</v>
      </c>
    </row>
    <row r="27" spans="1:14" ht="24" customHeight="1" x14ac:dyDescent="0.2">
      <c r="A27" s="97"/>
      <c r="B27" s="100">
        <v>12</v>
      </c>
      <c r="C27" s="22" t="s">
        <v>54</v>
      </c>
      <c r="D27" s="37">
        <v>17594</v>
      </c>
      <c r="E27" s="37">
        <v>12723</v>
      </c>
      <c r="F27" s="37">
        <v>10785</v>
      </c>
      <c r="G27" s="37">
        <v>694</v>
      </c>
      <c r="H27" s="37">
        <v>2891</v>
      </c>
      <c r="I27" s="37">
        <v>3</v>
      </c>
      <c r="J27" s="37"/>
      <c r="K27" s="37"/>
      <c r="L27" s="37"/>
      <c r="M27" s="37"/>
      <c r="N27" s="47">
        <f>SUM(D27:M27)</f>
        <v>44690</v>
      </c>
    </row>
    <row r="28" spans="1:14" ht="24" customHeight="1" x14ac:dyDescent="0.25">
      <c r="A28" s="97"/>
      <c r="B28" s="101">
        <v>13</v>
      </c>
      <c r="C28" s="24" t="s">
        <v>55</v>
      </c>
      <c r="D28" s="49">
        <f t="shared" ref="D28:M28" si="1">SUM(D16:D27)</f>
        <v>4100099</v>
      </c>
      <c r="E28" s="49">
        <f t="shared" si="1"/>
        <v>2997447</v>
      </c>
      <c r="F28" s="49">
        <f t="shared" si="1"/>
        <v>2534894</v>
      </c>
      <c r="G28" s="49">
        <f t="shared" si="1"/>
        <v>22550</v>
      </c>
      <c r="H28" s="49">
        <f t="shared" si="1"/>
        <v>468222</v>
      </c>
      <c r="I28" s="49">
        <f t="shared" si="1"/>
        <v>661</v>
      </c>
      <c r="J28" s="49">
        <f t="shared" si="1"/>
        <v>0</v>
      </c>
      <c r="K28" s="49">
        <f t="shared" si="1"/>
        <v>0</v>
      </c>
      <c r="L28" s="49">
        <f t="shared" si="1"/>
        <v>0</v>
      </c>
      <c r="M28" s="49">
        <f t="shared" si="1"/>
        <v>0</v>
      </c>
      <c r="N28" s="10">
        <f>SUM(D28:M28)</f>
        <v>10123873</v>
      </c>
    </row>
    <row r="29" spans="1:14" ht="24" customHeight="1" x14ac:dyDescent="0.25">
      <c r="A29" s="97"/>
      <c r="B29" s="91" t="s">
        <v>274</v>
      </c>
      <c r="C29" s="91"/>
      <c r="D29" s="92"/>
      <c r="E29" s="48"/>
      <c r="F29" s="48"/>
      <c r="G29" s="26"/>
      <c r="H29" s="26"/>
      <c r="I29" s="26"/>
      <c r="J29" s="26"/>
      <c r="K29" s="26"/>
      <c r="L29" s="26"/>
      <c r="M29" s="48"/>
      <c r="N29" s="26"/>
    </row>
    <row r="30" spans="1:14" ht="24" customHeight="1" x14ac:dyDescent="0.2">
      <c r="A30" s="97"/>
      <c r="B30" s="99">
        <v>1</v>
      </c>
      <c r="C30" s="19" t="s">
        <v>56</v>
      </c>
      <c r="D30" s="37"/>
      <c r="E30" s="37"/>
      <c r="F30" s="40"/>
      <c r="G30" s="40"/>
      <c r="H30" s="20"/>
      <c r="I30" s="20"/>
      <c r="J30" s="30"/>
      <c r="K30" s="20"/>
      <c r="L30" s="42"/>
      <c r="M30" s="379">
        <f>(-D30-E30)</f>
        <v>0</v>
      </c>
      <c r="N30" s="41">
        <f>SUM(D30:M30)</f>
        <v>0</v>
      </c>
    </row>
    <row r="31" spans="1:14" ht="24" customHeight="1" x14ac:dyDescent="0.2">
      <c r="A31" s="97"/>
      <c r="B31" s="99">
        <v>2</v>
      </c>
      <c r="C31" s="19" t="s">
        <v>57</v>
      </c>
      <c r="D31" s="37">
        <v>6658358</v>
      </c>
      <c r="E31" s="37">
        <v>1664589</v>
      </c>
      <c r="F31" s="37">
        <v>438050</v>
      </c>
      <c r="G31" s="40"/>
      <c r="H31" s="20"/>
      <c r="I31" s="38"/>
      <c r="J31" s="37"/>
      <c r="K31" s="39"/>
      <c r="L31" s="37"/>
      <c r="M31" s="50"/>
      <c r="N31" s="21">
        <f>SUM(D31:M31)</f>
        <v>8760997</v>
      </c>
    </row>
    <row r="32" spans="1:14" ht="24" customHeight="1" x14ac:dyDescent="0.2">
      <c r="A32" s="97"/>
      <c r="B32" s="100">
        <v>3</v>
      </c>
      <c r="C32" s="22" t="s">
        <v>58</v>
      </c>
      <c r="D32" s="37">
        <v>32057</v>
      </c>
      <c r="E32" s="37">
        <v>23436</v>
      </c>
      <c r="F32" s="37">
        <v>19818</v>
      </c>
      <c r="G32" s="37">
        <v>176</v>
      </c>
      <c r="H32" s="37">
        <v>3660</v>
      </c>
      <c r="I32" s="37"/>
      <c r="J32" s="37"/>
      <c r="K32" s="37"/>
      <c r="L32" s="37"/>
      <c r="M32" s="37"/>
      <c r="N32" s="47">
        <f>SUM(D32:M32)</f>
        <v>79147</v>
      </c>
    </row>
    <row r="33" spans="1:14" ht="24" customHeight="1" x14ac:dyDescent="0.25">
      <c r="A33" s="97"/>
      <c r="B33" s="101">
        <v>4</v>
      </c>
      <c r="C33" s="24" t="s">
        <v>55</v>
      </c>
      <c r="D33" s="49">
        <f>SUM(D30:D32)</f>
        <v>6690415</v>
      </c>
      <c r="E33" s="49">
        <f t="shared" ref="E33:M33" si="2">SUM(E30:E32)</f>
        <v>1688025</v>
      </c>
      <c r="F33" s="49">
        <f t="shared" si="2"/>
        <v>457868</v>
      </c>
      <c r="G33" s="49">
        <f t="shared" si="2"/>
        <v>176</v>
      </c>
      <c r="H33" s="49">
        <f t="shared" si="2"/>
        <v>3660</v>
      </c>
      <c r="I33" s="49">
        <f t="shared" si="2"/>
        <v>0</v>
      </c>
      <c r="J33" s="49">
        <f t="shared" si="2"/>
        <v>0</v>
      </c>
      <c r="K33" s="49">
        <f t="shared" si="2"/>
        <v>0</v>
      </c>
      <c r="L33" s="49">
        <f t="shared" si="2"/>
        <v>0</v>
      </c>
      <c r="M33" s="49">
        <f t="shared" si="2"/>
        <v>0</v>
      </c>
      <c r="N33" s="10">
        <f>SUM(D33:M33)</f>
        <v>8840144</v>
      </c>
    </row>
    <row r="34" spans="1:14" ht="24" customHeight="1" x14ac:dyDescent="0.25">
      <c r="A34" s="97"/>
      <c r="B34" s="91" t="s">
        <v>275</v>
      </c>
      <c r="C34" s="91"/>
      <c r="D34" s="93"/>
      <c r="E34" s="26"/>
      <c r="F34" s="26"/>
      <c r="G34" s="26"/>
      <c r="H34" s="26"/>
      <c r="I34" s="26"/>
      <c r="J34" s="26"/>
      <c r="K34" s="26"/>
      <c r="L34" s="26"/>
      <c r="M34" s="26"/>
      <c r="N34" s="26"/>
    </row>
    <row r="35" spans="1:14" ht="24" customHeight="1" x14ac:dyDescent="0.25">
      <c r="A35" s="97"/>
      <c r="B35" s="102">
        <v>1</v>
      </c>
      <c r="C35" s="28" t="s">
        <v>60</v>
      </c>
      <c r="D35" s="27"/>
      <c r="E35" s="27"/>
      <c r="F35" s="27"/>
      <c r="G35" s="27"/>
      <c r="H35" s="27"/>
      <c r="I35" s="27"/>
      <c r="J35" s="27"/>
      <c r="K35" s="27"/>
      <c r="L35" s="27"/>
      <c r="M35" s="27"/>
      <c r="N35" s="27"/>
    </row>
    <row r="36" spans="1:14" ht="24" customHeight="1" x14ac:dyDescent="0.2">
      <c r="A36" s="97"/>
      <c r="B36" s="99">
        <v>2</v>
      </c>
      <c r="C36" s="19" t="s">
        <v>44</v>
      </c>
      <c r="D36" s="20"/>
      <c r="E36" s="20"/>
      <c r="F36" s="20"/>
      <c r="G36" s="29">
        <f>'6. WET'!W20</f>
        <v>0</v>
      </c>
      <c r="H36" s="20"/>
      <c r="I36" s="20"/>
      <c r="J36" s="20"/>
      <c r="K36" s="20"/>
      <c r="L36" s="20"/>
      <c r="M36" s="20"/>
      <c r="N36" s="21">
        <f>SUM(D36:M36)</f>
        <v>0</v>
      </c>
    </row>
    <row r="37" spans="1:14" ht="24" customHeight="1" x14ac:dyDescent="0.2">
      <c r="A37" s="97"/>
      <c r="B37" s="99">
        <v>3</v>
      </c>
      <c r="C37" s="19" t="s">
        <v>45</v>
      </c>
      <c r="D37" s="20"/>
      <c r="E37" s="20"/>
      <c r="F37" s="20"/>
      <c r="G37" s="21">
        <f>'6. WET'!V20</f>
        <v>21856</v>
      </c>
      <c r="H37" s="21">
        <f>'7. CFTN'!V21</f>
        <v>-6269</v>
      </c>
      <c r="I37" s="20"/>
      <c r="J37" s="20"/>
      <c r="K37" s="20"/>
      <c r="L37" s="20"/>
      <c r="M37" s="20"/>
      <c r="N37" s="21">
        <f t="shared" ref="N37:N45" si="3">SUM(D37:M37)</f>
        <v>15587</v>
      </c>
    </row>
    <row r="38" spans="1:14" ht="24" customHeight="1" x14ac:dyDescent="0.2">
      <c r="A38" s="97"/>
      <c r="B38" s="99">
        <v>4</v>
      </c>
      <c r="C38" s="19" t="s">
        <v>46</v>
      </c>
      <c r="D38" s="20"/>
      <c r="E38" s="20"/>
      <c r="F38" s="21">
        <f>'5. INN'!U20</f>
        <v>0</v>
      </c>
      <c r="G38" s="21">
        <f>'6. WET'!U20</f>
        <v>0</v>
      </c>
      <c r="H38" s="21">
        <f>'7. CFTN'!U21</f>
        <v>0</v>
      </c>
      <c r="I38" s="21">
        <f>'8. TTACB, WET RP, HP'!T14</f>
        <v>0</v>
      </c>
      <c r="J38" s="21">
        <f>'8. TTACB, WET RP, HP'!T15</f>
        <v>0</v>
      </c>
      <c r="K38" s="21">
        <f>'4. PEI'!U17</f>
        <v>0</v>
      </c>
      <c r="L38" s="20"/>
      <c r="M38" s="20"/>
      <c r="N38" s="21">
        <f t="shared" si="3"/>
        <v>0</v>
      </c>
    </row>
    <row r="39" spans="1:14" ht="24" customHeight="1" x14ac:dyDescent="0.2">
      <c r="A39" s="97"/>
      <c r="B39" s="99">
        <v>5</v>
      </c>
      <c r="C39" s="19" t="s">
        <v>47</v>
      </c>
      <c r="D39" s="20"/>
      <c r="E39" s="20"/>
      <c r="F39" s="21">
        <f>'5. INN'!T20</f>
        <v>0</v>
      </c>
      <c r="G39" s="21">
        <f>'6. WET'!T20</f>
        <v>0</v>
      </c>
      <c r="H39" s="21">
        <f>'7. CFTN'!T21</f>
        <v>0</v>
      </c>
      <c r="I39" s="21">
        <f>'8. TTACB, WET RP, HP'!S14</f>
        <v>0</v>
      </c>
      <c r="J39" s="21">
        <f>'8. TTACB, WET RP, HP'!S15</f>
        <v>0</v>
      </c>
      <c r="K39" s="21">
        <f>'4. PEI'!T17</f>
        <v>0</v>
      </c>
      <c r="L39" s="20"/>
      <c r="M39" s="20"/>
      <c r="N39" s="21">
        <f t="shared" si="3"/>
        <v>0</v>
      </c>
    </row>
    <row r="40" spans="1:14" ht="24" customHeight="1" x14ac:dyDescent="0.2">
      <c r="A40" s="97"/>
      <c r="B40" s="99">
        <v>6</v>
      </c>
      <c r="C40" s="19" t="s">
        <v>48</v>
      </c>
      <c r="D40" s="20"/>
      <c r="E40" s="20"/>
      <c r="F40" s="21">
        <f>'5. INN'!S20</f>
        <v>0</v>
      </c>
      <c r="G40" s="21">
        <f>'6. WET'!S20</f>
        <v>0</v>
      </c>
      <c r="H40" s="21">
        <f>'7. CFTN'!S21</f>
        <v>0</v>
      </c>
      <c r="I40" s="21">
        <f>'8. TTACB, WET RP, HP'!R14</f>
        <v>0</v>
      </c>
      <c r="J40" s="21">
        <f>'8. TTACB, WET RP, HP'!R15</f>
        <v>0</v>
      </c>
      <c r="K40" s="21">
        <f>'4. PEI'!S17</f>
        <v>0</v>
      </c>
      <c r="L40" s="20"/>
      <c r="M40" s="20"/>
      <c r="N40" s="21">
        <f t="shared" si="3"/>
        <v>0</v>
      </c>
    </row>
    <row r="41" spans="1:14" ht="24" customHeight="1" x14ac:dyDescent="0.2">
      <c r="A41" s="97"/>
      <c r="B41" s="99">
        <v>7</v>
      </c>
      <c r="C41" s="19" t="s">
        <v>49</v>
      </c>
      <c r="D41" s="20"/>
      <c r="E41" s="20"/>
      <c r="F41" s="21">
        <f>'5. INN'!R20</f>
        <v>0</v>
      </c>
      <c r="G41" s="21">
        <f>'6. WET'!R20</f>
        <v>0</v>
      </c>
      <c r="H41" s="21">
        <f>'7. CFTN'!R21</f>
        <v>0</v>
      </c>
      <c r="I41" s="21">
        <f>'8. TTACB, WET RP, HP'!Q14</f>
        <v>0</v>
      </c>
      <c r="J41" s="21">
        <f>'8. TTACB, WET RP, HP'!Q15</f>
        <v>0</v>
      </c>
      <c r="K41" s="21">
        <f>'4. PEI'!R17</f>
        <v>0</v>
      </c>
      <c r="L41" s="20"/>
      <c r="M41" s="20"/>
      <c r="N41" s="21">
        <f t="shared" si="3"/>
        <v>0</v>
      </c>
    </row>
    <row r="42" spans="1:14" ht="24" customHeight="1" x14ac:dyDescent="0.2">
      <c r="A42" s="97"/>
      <c r="B42" s="99">
        <v>8</v>
      </c>
      <c r="C42" s="19" t="s">
        <v>50</v>
      </c>
      <c r="D42" s="20"/>
      <c r="E42" s="20"/>
      <c r="F42" s="21">
        <f>'5. INN'!Q20</f>
        <v>0</v>
      </c>
      <c r="G42" s="21">
        <f>'6. WET'!Q20</f>
        <v>0</v>
      </c>
      <c r="H42" s="21">
        <f>'7. CFTN'!Q21</f>
        <v>0</v>
      </c>
      <c r="I42" s="20"/>
      <c r="J42" s="21">
        <f>'8. TTACB, WET RP, HP'!P15</f>
        <v>0</v>
      </c>
      <c r="K42" s="20"/>
      <c r="L42" s="20"/>
      <c r="M42" s="20"/>
      <c r="N42" s="21">
        <f t="shared" si="3"/>
        <v>0</v>
      </c>
    </row>
    <row r="43" spans="1:14" ht="24" customHeight="1" x14ac:dyDescent="0.2">
      <c r="A43" s="97"/>
      <c r="B43" s="99">
        <v>9</v>
      </c>
      <c r="C43" s="19" t="s">
        <v>51</v>
      </c>
      <c r="D43" s="20"/>
      <c r="E43" s="20"/>
      <c r="F43" s="21">
        <f>'5. INN'!P20</f>
        <v>0</v>
      </c>
      <c r="G43" s="21">
        <f>'6. WET'!P20</f>
        <v>0</v>
      </c>
      <c r="H43" s="21">
        <f>'7. CFTN'!P21</f>
        <v>0</v>
      </c>
      <c r="I43" s="20"/>
      <c r="J43" s="21">
        <f>'8. TTACB, WET RP, HP'!O15</f>
        <v>0</v>
      </c>
      <c r="K43" s="20"/>
      <c r="L43" s="20"/>
      <c r="M43" s="20"/>
      <c r="N43" s="21">
        <f t="shared" si="3"/>
        <v>0</v>
      </c>
    </row>
    <row r="44" spans="1:14" ht="24" customHeight="1" x14ac:dyDescent="0.2">
      <c r="A44" s="97"/>
      <c r="B44" s="99">
        <v>10</v>
      </c>
      <c r="C44" s="19" t="s">
        <v>52</v>
      </c>
      <c r="D44" s="21">
        <f>SUM('3. CSS'!O14:O16,'3. CSS'!O18,'3. CSS'!O23)</f>
        <v>0</v>
      </c>
      <c r="E44" s="21">
        <f>'4. PEI'!O21</f>
        <v>1665215</v>
      </c>
      <c r="F44" s="21">
        <f>'5. INN'!O20</f>
        <v>0</v>
      </c>
      <c r="G44" s="21">
        <f>'6. WET'!O20</f>
        <v>0</v>
      </c>
      <c r="H44" s="21">
        <f>'7. CFTN'!O21</f>
        <v>0</v>
      </c>
      <c r="I44" s="20"/>
      <c r="J44" s="21">
        <f>'8. TTACB, WET RP, HP'!N15</f>
        <v>0</v>
      </c>
      <c r="K44" s="20"/>
      <c r="L44" s="21">
        <f>'8. TTACB, WET RP, HP'!N16</f>
        <v>0</v>
      </c>
      <c r="M44" s="20"/>
      <c r="N44" s="21">
        <f t="shared" si="3"/>
        <v>1665215</v>
      </c>
    </row>
    <row r="45" spans="1:14" ht="24" customHeight="1" x14ac:dyDescent="0.2">
      <c r="A45" s="97"/>
      <c r="B45" s="99">
        <v>11</v>
      </c>
      <c r="C45" s="19" t="s">
        <v>53</v>
      </c>
      <c r="D45" s="21">
        <f>SUM('3. CSS'!N14:N16,'3. CSS'!N18,'3. CSS'!N23)</f>
        <v>4082505</v>
      </c>
      <c r="E45" s="21">
        <f>'4. PEI'!N21</f>
        <v>1319510</v>
      </c>
      <c r="F45" s="21">
        <f>'5. INN'!N20</f>
        <v>0</v>
      </c>
      <c r="G45" s="21">
        <f>'6. WET'!N20</f>
        <v>0</v>
      </c>
      <c r="H45" s="21">
        <f>'7. CFTN'!N21</f>
        <v>0</v>
      </c>
      <c r="I45" s="20"/>
      <c r="J45" s="21">
        <f>'8. TTACB, WET RP, HP'!M15</f>
        <v>0</v>
      </c>
      <c r="K45" s="20"/>
      <c r="L45" s="21">
        <f>'8. TTACB, WET RP, HP'!M16</f>
        <v>0</v>
      </c>
      <c r="M45" s="20"/>
      <c r="N45" s="21">
        <f t="shared" si="3"/>
        <v>5402015</v>
      </c>
    </row>
    <row r="46" spans="1:14" ht="24" customHeight="1" x14ac:dyDescent="0.2">
      <c r="A46" s="97"/>
      <c r="B46" s="100">
        <v>12</v>
      </c>
      <c r="C46" s="22" t="s">
        <v>66</v>
      </c>
      <c r="D46" s="23">
        <f>SUM('3. CSS'!M14:M16,'3. CSS'!M18,'3. CSS'!M23)</f>
        <v>2608556</v>
      </c>
      <c r="E46" s="23">
        <f>'4. PEI'!M21</f>
        <v>-837954</v>
      </c>
      <c r="F46" s="23">
        <f>'5. INN'!M20</f>
        <v>182329</v>
      </c>
      <c r="G46" s="23">
        <f>'6. WET'!M20</f>
        <v>19978</v>
      </c>
      <c r="H46" s="23">
        <f>'7. CFTN'!M21</f>
        <v>28595</v>
      </c>
      <c r="I46" s="30"/>
      <c r="J46" s="23">
        <f>'8. TTACB, WET RP, HP'!L15</f>
        <v>0</v>
      </c>
      <c r="K46" s="30"/>
      <c r="L46" s="23">
        <f>'8. TTACB, WET RP, HP'!L16</f>
        <v>0</v>
      </c>
      <c r="M46" s="30"/>
      <c r="N46" s="23">
        <f>SUM(D46:M46)</f>
        <v>2001504</v>
      </c>
    </row>
    <row r="47" spans="1:14" ht="24" customHeight="1" x14ac:dyDescent="0.2">
      <c r="A47" s="97"/>
      <c r="B47" s="99">
        <v>13</v>
      </c>
      <c r="C47" s="19" t="s">
        <v>190</v>
      </c>
      <c r="D47" s="21">
        <f>'3. CSS'!L24</f>
        <v>32057</v>
      </c>
      <c r="E47" s="21">
        <f>'4. PEI'!L21</f>
        <v>23436</v>
      </c>
      <c r="F47" s="21">
        <f>'5. INN'!L20</f>
        <v>19818</v>
      </c>
      <c r="G47" s="21">
        <f>'6. WET'!L20</f>
        <v>176</v>
      </c>
      <c r="H47" s="21">
        <f>'7. CFTN'!L21</f>
        <v>3660</v>
      </c>
      <c r="I47" s="21">
        <f>'8. TTACB, WET RP, HP'!K14</f>
        <v>0</v>
      </c>
      <c r="J47" s="21">
        <f>'8. TTACB, WET RP, HP'!K15</f>
        <v>0</v>
      </c>
      <c r="K47" s="21">
        <f>'4. PEI'!L17</f>
        <v>0</v>
      </c>
      <c r="L47" s="21">
        <f>'8. TTACB, WET RP, HP'!K16</f>
        <v>0</v>
      </c>
      <c r="M47" s="20"/>
      <c r="N47" s="21">
        <f>SUM(D47:M47)</f>
        <v>79147</v>
      </c>
    </row>
    <row r="48" spans="1:14" ht="24" customHeight="1" x14ac:dyDescent="0.25">
      <c r="A48" s="97"/>
      <c r="B48" s="101">
        <v>14</v>
      </c>
      <c r="C48" s="24" t="s">
        <v>199</v>
      </c>
      <c r="D48" s="10">
        <f>SUM(D36:D47)</f>
        <v>6723118</v>
      </c>
      <c r="E48" s="10">
        <f t="shared" ref="E48:L48" si="4">SUM(E36:E47)</f>
        <v>2170207</v>
      </c>
      <c r="F48" s="10">
        <f t="shared" si="4"/>
        <v>202147</v>
      </c>
      <c r="G48" s="10">
        <f t="shared" si="4"/>
        <v>42010</v>
      </c>
      <c r="H48" s="10">
        <f t="shared" si="4"/>
        <v>25986</v>
      </c>
      <c r="I48" s="10">
        <f t="shared" si="4"/>
        <v>0</v>
      </c>
      <c r="J48" s="10">
        <f t="shared" si="4"/>
        <v>0</v>
      </c>
      <c r="K48" s="10">
        <f t="shared" si="4"/>
        <v>0</v>
      </c>
      <c r="L48" s="10">
        <f t="shared" si="4"/>
        <v>0</v>
      </c>
      <c r="M48" s="32"/>
      <c r="N48" s="10">
        <f>SUM(D48:M48)</f>
        <v>9163468</v>
      </c>
    </row>
    <row r="49" spans="1:14" ht="24" customHeight="1" x14ac:dyDescent="0.25">
      <c r="A49" s="97"/>
      <c r="B49" s="103">
        <v>15</v>
      </c>
      <c r="C49" s="34" t="s">
        <v>62</v>
      </c>
      <c r="D49" s="33"/>
      <c r="E49" s="33"/>
      <c r="F49" s="33"/>
      <c r="G49" s="33"/>
      <c r="H49" s="33"/>
      <c r="I49" s="33"/>
      <c r="J49" s="33"/>
      <c r="K49" s="33"/>
      <c r="L49" s="33"/>
      <c r="M49" s="33"/>
      <c r="N49" s="33"/>
    </row>
    <row r="50" spans="1:14" ht="24" customHeight="1" x14ac:dyDescent="0.2">
      <c r="A50" s="97"/>
      <c r="B50" s="99">
        <v>16</v>
      </c>
      <c r="C50" s="19" t="s">
        <v>8</v>
      </c>
      <c r="D50" s="21">
        <f>'3. CSS'!H24</f>
        <v>0</v>
      </c>
      <c r="E50" s="21">
        <f>'4. PEI'!H21</f>
        <v>0</v>
      </c>
      <c r="F50" s="21">
        <f>'5. INN'!H20</f>
        <v>0</v>
      </c>
      <c r="G50" s="21">
        <f>'6. WET'!H20</f>
        <v>0</v>
      </c>
      <c r="H50" s="21">
        <f>'7. CFTN'!H21</f>
        <v>0</v>
      </c>
      <c r="I50" s="21">
        <f>'8. TTACB, WET RP, HP'!G14</f>
        <v>0</v>
      </c>
      <c r="J50" s="21">
        <f>'8. TTACB, WET RP, HP'!G15</f>
        <v>0</v>
      </c>
      <c r="K50" s="21">
        <f>'4. PEI'!H17</f>
        <v>0</v>
      </c>
      <c r="L50" s="21">
        <f>'8. TTACB, WET RP, HP'!G16</f>
        <v>0</v>
      </c>
      <c r="M50" s="20"/>
      <c r="N50" s="21">
        <f t="shared" ref="N50:N55" si="5">SUM(D50:M50)</f>
        <v>0</v>
      </c>
    </row>
    <row r="51" spans="1:14" ht="24" customHeight="1" x14ac:dyDescent="0.2">
      <c r="A51" s="97"/>
      <c r="B51" s="99">
        <v>17</v>
      </c>
      <c r="C51" s="19" t="s">
        <v>63</v>
      </c>
      <c r="D51" s="21">
        <f>'3. CSS'!I24</f>
        <v>0</v>
      </c>
      <c r="E51" s="21">
        <f>'4. PEI'!I21</f>
        <v>0</v>
      </c>
      <c r="F51" s="21">
        <f>'5. INN'!I20</f>
        <v>0</v>
      </c>
      <c r="G51" s="21">
        <f>'6. WET'!I20</f>
        <v>0</v>
      </c>
      <c r="H51" s="21">
        <f>'7. CFTN'!I21</f>
        <v>0</v>
      </c>
      <c r="I51" s="21">
        <f>'8. TTACB, WET RP, HP'!H14</f>
        <v>0</v>
      </c>
      <c r="J51" s="21">
        <f>'8. TTACB, WET RP, HP'!H15</f>
        <v>0</v>
      </c>
      <c r="K51" s="21">
        <f>'4. PEI'!I17</f>
        <v>0</v>
      </c>
      <c r="L51" s="21">
        <f>'8. TTACB, WET RP, HP'!H16</f>
        <v>0</v>
      </c>
      <c r="M51" s="20"/>
      <c r="N51" s="21">
        <f t="shared" si="5"/>
        <v>0</v>
      </c>
    </row>
    <row r="52" spans="1:14" ht="24" customHeight="1" x14ac:dyDescent="0.2">
      <c r="A52" s="97"/>
      <c r="B52" s="99">
        <v>18</v>
      </c>
      <c r="C52" s="19" t="s">
        <v>64</v>
      </c>
      <c r="D52" s="21">
        <f>'3. CSS'!G24</f>
        <v>849889</v>
      </c>
      <c r="E52" s="21">
        <f>'4. PEI'!G21</f>
        <v>35587</v>
      </c>
      <c r="F52" s="21">
        <f>'5. INN'!G20</f>
        <v>0</v>
      </c>
      <c r="G52" s="21">
        <f>'6. WET'!G20</f>
        <v>0</v>
      </c>
      <c r="H52" s="21">
        <f>'7. CFTN'!G21</f>
        <v>0</v>
      </c>
      <c r="I52" s="21">
        <f>'8. TTACB, WET RP, HP'!F14</f>
        <v>0</v>
      </c>
      <c r="J52" s="21">
        <f>'8. TTACB, WET RP, HP'!F15</f>
        <v>0</v>
      </c>
      <c r="K52" s="21">
        <f>'4. PEI'!G17</f>
        <v>0</v>
      </c>
      <c r="L52" s="21">
        <f>'8. TTACB, WET RP, HP'!F16</f>
        <v>0</v>
      </c>
      <c r="M52" s="20"/>
      <c r="N52" s="21">
        <f t="shared" si="5"/>
        <v>885476</v>
      </c>
    </row>
    <row r="53" spans="1:14" ht="24" customHeight="1" x14ac:dyDescent="0.2">
      <c r="A53" s="97"/>
      <c r="B53" s="100">
        <v>19</v>
      </c>
      <c r="C53" s="22" t="s">
        <v>33</v>
      </c>
      <c r="D53" s="23">
        <f>'3. CSS'!J24</f>
        <v>1162325</v>
      </c>
      <c r="E53" s="23">
        <f>'4. PEI'!J21</f>
        <v>0</v>
      </c>
      <c r="F53" s="23">
        <f>'5. INN'!J20</f>
        <v>0</v>
      </c>
      <c r="G53" s="23">
        <f>'6. WET'!J20</f>
        <v>0</v>
      </c>
      <c r="H53" s="23">
        <f>'7. CFTN'!J21</f>
        <v>0</v>
      </c>
      <c r="I53" s="23">
        <f>'8. TTACB, WET RP, HP'!I14</f>
        <v>0</v>
      </c>
      <c r="J53" s="23">
        <f>'8. TTACB, WET RP, HP'!I15</f>
        <v>0</v>
      </c>
      <c r="K53" s="23">
        <f>'4. PEI'!J17</f>
        <v>0</v>
      </c>
      <c r="L53" s="23">
        <f>'8. TTACB, WET RP, HP'!I16</f>
        <v>0</v>
      </c>
      <c r="M53" s="30"/>
      <c r="N53" s="23">
        <f t="shared" si="5"/>
        <v>1162325</v>
      </c>
    </row>
    <row r="54" spans="1:14" ht="24" customHeight="1" x14ac:dyDescent="0.25">
      <c r="A54" s="97"/>
      <c r="B54" s="101">
        <v>20</v>
      </c>
      <c r="C54" s="24" t="s">
        <v>198</v>
      </c>
      <c r="D54" s="10">
        <f>SUM(D50:D53)</f>
        <v>2012214</v>
      </c>
      <c r="E54" s="10">
        <f t="shared" ref="E54:L54" si="6">SUM(E50:E53)</f>
        <v>35587</v>
      </c>
      <c r="F54" s="10">
        <f t="shared" si="6"/>
        <v>0</v>
      </c>
      <c r="G54" s="10">
        <f t="shared" si="6"/>
        <v>0</v>
      </c>
      <c r="H54" s="10">
        <f t="shared" si="6"/>
        <v>0</v>
      </c>
      <c r="I54" s="10">
        <f t="shared" si="6"/>
        <v>0</v>
      </c>
      <c r="J54" s="10">
        <f t="shared" si="6"/>
        <v>0</v>
      </c>
      <c r="K54" s="10">
        <f t="shared" si="6"/>
        <v>0</v>
      </c>
      <c r="L54" s="10">
        <f t="shared" si="6"/>
        <v>0</v>
      </c>
      <c r="M54" s="32"/>
      <c r="N54" s="10">
        <f t="shared" si="5"/>
        <v>2047801</v>
      </c>
    </row>
    <row r="55" spans="1:14" ht="24" customHeight="1" x14ac:dyDescent="0.25">
      <c r="A55" s="97"/>
      <c r="B55" s="98">
        <v>21</v>
      </c>
      <c r="C55" s="31" t="s">
        <v>200</v>
      </c>
      <c r="D55" s="10">
        <f>D48+D54</f>
        <v>8735332</v>
      </c>
      <c r="E55" s="10">
        <f t="shared" ref="E55:L55" si="7">E48+E54</f>
        <v>2205794</v>
      </c>
      <c r="F55" s="10">
        <f t="shared" si="7"/>
        <v>202147</v>
      </c>
      <c r="G55" s="10">
        <f t="shared" si="7"/>
        <v>42010</v>
      </c>
      <c r="H55" s="10">
        <f t="shared" si="7"/>
        <v>25986</v>
      </c>
      <c r="I55" s="10">
        <f t="shared" si="7"/>
        <v>0</v>
      </c>
      <c r="J55" s="10">
        <f t="shared" si="7"/>
        <v>0</v>
      </c>
      <c r="K55" s="10">
        <f t="shared" si="7"/>
        <v>0</v>
      </c>
      <c r="L55" s="10">
        <f t="shared" si="7"/>
        <v>0</v>
      </c>
      <c r="M55" s="32"/>
      <c r="N55" s="10">
        <f t="shared" si="5"/>
        <v>11211269</v>
      </c>
    </row>
    <row r="56" spans="1:14" ht="24" customHeight="1" x14ac:dyDescent="0.25">
      <c r="A56" s="97"/>
      <c r="B56" s="398" t="s">
        <v>276</v>
      </c>
      <c r="C56" s="399"/>
      <c r="D56" s="364"/>
      <c r="E56" s="25"/>
      <c r="F56" s="25"/>
      <c r="G56" s="25"/>
      <c r="H56" s="25"/>
      <c r="I56" s="25"/>
      <c r="J56" s="25"/>
      <c r="K56" s="25"/>
      <c r="L56" s="25"/>
      <c r="M56" s="25"/>
      <c r="N56" s="25"/>
    </row>
    <row r="57" spans="1:14" ht="24" customHeight="1" x14ac:dyDescent="0.2">
      <c r="A57" s="97"/>
      <c r="B57" s="99">
        <v>1</v>
      </c>
      <c r="C57" s="19" t="s">
        <v>52</v>
      </c>
      <c r="D57" s="21">
        <f>(G57+H57+M57)*-1</f>
        <v>0</v>
      </c>
      <c r="E57" s="20"/>
      <c r="F57" s="20"/>
      <c r="G57" s="21">
        <f>'3. CSS'!O20</f>
        <v>0</v>
      </c>
      <c r="H57" s="21">
        <f>'3. CSS'!O21</f>
        <v>0</v>
      </c>
      <c r="I57" s="20"/>
      <c r="J57" s="20"/>
      <c r="K57" s="20"/>
      <c r="L57" s="20"/>
      <c r="M57" s="21">
        <f>'3. CSS'!O22</f>
        <v>0</v>
      </c>
      <c r="N57" s="21">
        <f>SUM(D57:M57)</f>
        <v>0</v>
      </c>
    </row>
    <row r="58" spans="1:14" ht="24" customHeight="1" x14ac:dyDescent="0.2">
      <c r="A58" s="97"/>
      <c r="B58" s="99">
        <v>2</v>
      </c>
      <c r="C58" s="19" t="s">
        <v>53</v>
      </c>
      <c r="D58" s="21">
        <f>(G58+H58+M58)*-1</f>
        <v>0</v>
      </c>
      <c r="E58" s="20"/>
      <c r="F58" s="338"/>
      <c r="G58" s="21">
        <f>'3. CSS'!N20</f>
        <v>0</v>
      </c>
      <c r="H58" s="21">
        <f>'3. CSS'!N21</f>
        <v>0</v>
      </c>
      <c r="I58" s="20"/>
      <c r="J58" s="20"/>
      <c r="K58" s="20"/>
      <c r="L58" s="20"/>
      <c r="M58" s="21">
        <f>'3. CSS'!N22</f>
        <v>0</v>
      </c>
      <c r="N58" s="21">
        <f>SUM(D58:M58)</f>
        <v>0</v>
      </c>
    </row>
    <row r="59" spans="1:14" ht="24" customHeight="1" x14ac:dyDescent="0.2">
      <c r="A59" s="97"/>
      <c r="B59" s="99">
        <v>3</v>
      </c>
      <c r="C59" s="19" t="s">
        <v>66</v>
      </c>
      <c r="D59" s="21">
        <f>(G59+H59+M59)*-1</f>
        <v>0</v>
      </c>
      <c r="E59" s="20"/>
      <c r="F59" s="20"/>
      <c r="G59" s="21">
        <f>'3. CSS'!M20</f>
        <v>0</v>
      </c>
      <c r="H59" s="21">
        <f>'3. CSS'!M21</f>
        <v>0</v>
      </c>
      <c r="I59" s="20"/>
      <c r="J59" s="20"/>
      <c r="K59" s="20"/>
      <c r="L59" s="20"/>
      <c r="M59" s="21">
        <f>'3. CSS'!M22</f>
        <v>0</v>
      </c>
      <c r="N59" s="21">
        <f>SUM(D59:M59)</f>
        <v>0</v>
      </c>
    </row>
    <row r="60" spans="1:14" ht="24" customHeight="1" x14ac:dyDescent="0.2">
      <c r="A60" s="97"/>
      <c r="B60" s="100">
        <v>4</v>
      </c>
      <c r="C60" s="381" t="s">
        <v>54</v>
      </c>
      <c r="D60" s="23">
        <f>(G60+H60+M60)*-1</f>
        <v>0</v>
      </c>
      <c r="E60" s="30"/>
      <c r="F60" s="30"/>
      <c r="G60" s="23">
        <f>'3. CSS'!L20</f>
        <v>0</v>
      </c>
      <c r="H60" s="23">
        <f>'3. CSS'!L21</f>
        <v>0</v>
      </c>
      <c r="I60" s="30"/>
      <c r="J60" s="30"/>
      <c r="K60" s="30"/>
      <c r="L60" s="30"/>
      <c r="M60" s="23">
        <f>'3. CSS'!L22</f>
        <v>0</v>
      </c>
      <c r="N60" s="23">
        <f>SUM(D60:M60)</f>
        <v>0</v>
      </c>
    </row>
    <row r="61" spans="1:14" ht="24" customHeight="1" x14ac:dyDescent="0.25">
      <c r="A61" s="97"/>
      <c r="B61" s="56">
        <v>5</v>
      </c>
      <c r="C61" s="380" t="s">
        <v>55</v>
      </c>
      <c r="D61" s="382">
        <f>SUM(D57:D60)</f>
        <v>0</v>
      </c>
      <c r="E61" s="383"/>
      <c r="F61" s="383"/>
      <c r="G61" s="382">
        <f>SUM(G57:G60)</f>
        <v>0</v>
      </c>
      <c r="H61" s="382">
        <f>SUM(H57:H60)</f>
        <v>0</v>
      </c>
      <c r="I61" s="32"/>
      <c r="J61" s="32"/>
      <c r="K61" s="32"/>
      <c r="L61" s="32"/>
      <c r="M61" s="382">
        <f>SUM(M57:M60)</f>
        <v>0</v>
      </c>
      <c r="N61" s="10">
        <f>SUM(D61:M61)</f>
        <v>0</v>
      </c>
    </row>
    <row r="62" spans="1:14" ht="24" customHeight="1" x14ac:dyDescent="0.25">
      <c r="A62" s="97"/>
      <c r="B62" s="398" t="s">
        <v>277</v>
      </c>
      <c r="C62" s="399"/>
      <c r="D62" s="35"/>
      <c r="E62" s="35"/>
      <c r="F62" s="35"/>
      <c r="G62" s="26"/>
      <c r="H62" s="26"/>
      <c r="I62" s="26"/>
      <c r="J62" s="26"/>
      <c r="K62" s="26"/>
      <c r="L62" s="26"/>
      <c r="M62" s="26"/>
      <c r="N62" s="26"/>
    </row>
    <row r="63" spans="1:14" ht="18.75" customHeight="1" x14ac:dyDescent="0.2">
      <c r="A63" s="97"/>
      <c r="B63" s="99">
        <v>1</v>
      </c>
      <c r="C63" s="19" t="s">
        <v>43</v>
      </c>
      <c r="D63" s="20"/>
      <c r="E63" s="20"/>
      <c r="F63" s="20"/>
      <c r="G63" s="20"/>
      <c r="H63" s="20"/>
      <c r="I63" s="20"/>
      <c r="J63" s="20"/>
      <c r="K63" s="20"/>
      <c r="L63" s="20"/>
      <c r="M63" s="21">
        <f>SUM('9. Adjustment (MHSA)'!E83:E112)</f>
        <v>0</v>
      </c>
      <c r="N63" s="21">
        <f>SUM(D63:M63)</f>
        <v>0</v>
      </c>
    </row>
    <row r="64" spans="1:14" ht="18.75" customHeight="1" x14ac:dyDescent="0.2">
      <c r="A64" s="97"/>
      <c r="B64" s="99">
        <v>2</v>
      </c>
      <c r="C64" s="19" t="s">
        <v>44</v>
      </c>
      <c r="D64" s="21">
        <f>SUMIFS('9. Adjustment (MHSA)'!$F$13:$F$42,'9. Adjustment (MHSA)'!$D$13:$D$42,"CSS",'9. Adjustment (MHSA)'!$E$13:$E$42,"FY 2006-07")</f>
        <v>0</v>
      </c>
      <c r="E64" s="20"/>
      <c r="F64" s="20"/>
      <c r="G64" s="21">
        <f>SUMIFS('9. Adjustment (MHSA)'!$F$13:$F$42,'9. Adjustment (MHSA)'!$D$13:$D$42,"WET",'9. Adjustment (MHSA)'!$E$13:$E$42,"FY 2006-07")</f>
        <v>0</v>
      </c>
      <c r="H64" s="20"/>
      <c r="I64" s="20"/>
      <c r="J64" s="20"/>
      <c r="K64" s="20"/>
      <c r="L64" s="20"/>
      <c r="M64" s="20"/>
      <c r="N64" s="21">
        <f>SUM(D64:M64)</f>
        <v>0</v>
      </c>
    </row>
    <row r="65" spans="1:14" ht="18.75" customHeight="1" x14ac:dyDescent="0.2">
      <c r="A65" s="97"/>
      <c r="B65" s="99">
        <v>3</v>
      </c>
      <c r="C65" s="19" t="s">
        <v>45</v>
      </c>
      <c r="D65" s="21">
        <f>SUMIFS('9. Adjustment (MHSA)'!$F$13:$F$42,'9. Adjustment (MHSA)'!$D$13:$D$42,"CSS",'9. Adjustment (MHSA)'!$E$13:$E$42,"FY 2007-08")</f>
        <v>0</v>
      </c>
      <c r="E65" s="20"/>
      <c r="F65" s="20"/>
      <c r="G65" s="21">
        <f>SUMIFS('9. Adjustment (MHSA)'!$F$13:$F$42,'9. Adjustment (MHSA)'!$D$13:$D$42,"WET",'9. Adjustment (MHSA)'!$E$13:$E$42,"FY 2007-08")</f>
        <v>0</v>
      </c>
      <c r="H65" s="21">
        <f>SUMIFS('9. Adjustment (MHSA)'!$F$13:$F$42,'9. Adjustment (MHSA)'!$D$13:$D$42,"CFTN",'9. Adjustment (MHSA)'!$E$13:$E$42,"FY 2007-08")</f>
        <v>0</v>
      </c>
      <c r="I65" s="20"/>
      <c r="J65" s="20"/>
      <c r="K65" s="20"/>
      <c r="L65" s="20"/>
      <c r="M65" s="20"/>
      <c r="N65" s="21">
        <f t="shared" ref="N65:N76" si="8">SUM(D65:M65)</f>
        <v>0</v>
      </c>
    </row>
    <row r="66" spans="1:14" ht="18.75" customHeight="1" x14ac:dyDescent="0.2">
      <c r="A66" s="97"/>
      <c r="B66" s="99">
        <v>4</v>
      </c>
      <c r="C66" s="19" t="s">
        <v>46</v>
      </c>
      <c r="D66" s="21">
        <f>SUMIFS('9. Adjustment (MHSA)'!$F$13:$F$42,'9. Adjustment (MHSA)'!$D$13:$D$42,"CSS",'9. Adjustment (MHSA)'!$E$13:$E$42,"FY 2008-09")</f>
        <v>0</v>
      </c>
      <c r="E66" s="21">
        <f>SUMIFS('9. Adjustment (MHSA)'!$F$13:$F$42,'9. Adjustment (MHSA)'!$D$13:$D$42,"PEI",'9. Adjustment (MHSA)'!$E$13:$E$42,"FY 2008-09")</f>
        <v>0</v>
      </c>
      <c r="F66" s="21">
        <f>SUMIFS('9. Adjustment (MHSA)'!$F$13:$F$42,'9. Adjustment (MHSA)'!$D$13:$D$42,"INN",'9. Adjustment (MHSA)'!$E$13:$E$42,"FY 2008-09")</f>
        <v>0</v>
      </c>
      <c r="G66" s="21">
        <f>SUMIFS('9. Adjustment (MHSA)'!$F$13:$F$42,'9. Adjustment (MHSA)'!$D$13:$D$42,"WET",'9. Adjustment (MHSA)'!$E$13:$E$42,"FY 2008-09")</f>
        <v>0</v>
      </c>
      <c r="H66" s="21">
        <f>SUMIFS('9. Adjustment (MHSA)'!$F$13:$F$42,'9. Adjustment (MHSA)'!$D$13:$D$42,"CFTN",'9. Adjustment (MHSA)'!$E$13:$E$42,"FY 2008-09")</f>
        <v>0</v>
      </c>
      <c r="I66" s="21">
        <f>SUMIFS('9. Adjustment (MHSA)'!$F$13:$F$42,'9. Adjustment (MHSA)'!$D$13:$D$42,"TTACB",'9. Adjustment (MHSA)'!$E$13:$E$42,"FY 2008-09")</f>
        <v>0</v>
      </c>
      <c r="J66" s="21">
        <f>SUMIFS('9. Adjustment (MHSA)'!$F$13:$F$42,'9. Adjustment (MHSA)'!$D$13:$D$42,"WET RP",'9. Adjustment (MHSA)'!$E$13:$E$42,"FY 2008-09")</f>
        <v>0</v>
      </c>
      <c r="K66" s="21">
        <f>SUMIFS('9. Adjustment (MHSA)'!$F$13:$F$42,'9. Adjustment (MHSA)'!$D$13:$D$42,"PEI SW",'9. Adjustment (MHSA)'!$E$13:$E$42,"FY 2008-09")</f>
        <v>0</v>
      </c>
      <c r="L66" s="20"/>
      <c r="M66" s="20"/>
      <c r="N66" s="21">
        <f t="shared" si="8"/>
        <v>0</v>
      </c>
    </row>
    <row r="67" spans="1:14" ht="18.75" customHeight="1" x14ac:dyDescent="0.2">
      <c r="A67" s="97"/>
      <c r="B67" s="99">
        <v>5</v>
      </c>
      <c r="C67" s="19" t="s">
        <v>47</v>
      </c>
      <c r="D67" s="21">
        <f>SUMIFS('9. Adjustment (MHSA)'!$F$13:$F$42,'9. Adjustment (MHSA)'!$D$13:$D$42,"CSS",'9. Adjustment (MHSA)'!$E$13:$E$42,"FY 2009-10")</f>
        <v>0</v>
      </c>
      <c r="E67" s="21">
        <f>SUMIFS('9. Adjustment (MHSA)'!$F$13:$F$42,'9. Adjustment (MHSA)'!$D$13:$D$42,"PEI",'9. Adjustment (MHSA)'!$E$13:$E$42,"FY 2009-10")</f>
        <v>0</v>
      </c>
      <c r="F67" s="21">
        <f>SUMIFS('9. Adjustment (MHSA)'!$F$13:$F$42,'9. Adjustment (MHSA)'!$D$13:$D$42,"INN",'9. Adjustment (MHSA)'!$E$13:$E$42,"FY 2009-10")</f>
        <v>0</v>
      </c>
      <c r="G67" s="21">
        <f>SUMIFS('9. Adjustment (MHSA)'!$F$13:$F$42,'9. Adjustment (MHSA)'!$D$13:$D$42,"WET",'9. Adjustment (MHSA)'!$E$13:$E$42,"FY 2009-10")</f>
        <v>0</v>
      </c>
      <c r="H67" s="21">
        <f>SUMIFS('9. Adjustment (MHSA)'!$F$13:$F$42,'9. Adjustment (MHSA)'!$D$13:$D$42,"CFTN",'9. Adjustment (MHSA)'!$E$13:$E$42,"FY 2009-10")</f>
        <v>0</v>
      </c>
      <c r="I67" s="21">
        <f>SUMIFS('9. Adjustment (MHSA)'!$F$13:$F$42,'9. Adjustment (MHSA)'!$D$13:$D$42,"TTACB",'9. Adjustment (MHSA)'!$E$13:$E$42,"FY 2009-10")</f>
        <v>0</v>
      </c>
      <c r="J67" s="21">
        <f>SUMIFS('9. Adjustment (MHSA)'!$F$13:$F$42,'9. Adjustment (MHSA)'!$D$13:$D$42,"WET RP",'9. Adjustment (MHSA)'!$E$13:$E$42,"FY 2009-10")</f>
        <v>0</v>
      </c>
      <c r="K67" s="21">
        <f>SUMIFS('9. Adjustment (MHSA)'!$F$13:$F$42,'9. Adjustment (MHSA)'!$D$13:$D$42,"PEI SW",'9. Adjustment (MHSA)'!$E$13:$E$42,"FY 2009-10")</f>
        <v>0</v>
      </c>
      <c r="L67" s="20"/>
      <c r="M67" s="20"/>
      <c r="N67" s="21">
        <f t="shared" si="8"/>
        <v>0</v>
      </c>
    </row>
    <row r="68" spans="1:14" ht="18.75" customHeight="1" x14ac:dyDescent="0.2">
      <c r="A68" s="97"/>
      <c r="B68" s="99">
        <v>6</v>
      </c>
      <c r="C68" s="19" t="s">
        <v>48</v>
      </c>
      <c r="D68" s="21">
        <f>SUMIFS('9. Adjustment (MHSA)'!$F$13:$F$42,'9. Adjustment (MHSA)'!$D$13:$D$42,"CSS",'9. Adjustment (MHSA)'!$E$13:$E$42,"FY 2010-11")</f>
        <v>0</v>
      </c>
      <c r="E68" s="21">
        <f>SUMIFS('9. Adjustment (MHSA)'!$F$13:$F$42,'9. Adjustment (MHSA)'!$D$13:$D$42,"PEI",'9. Adjustment (MHSA)'!$E$13:$E$42,"FY 2010-11")</f>
        <v>0</v>
      </c>
      <c r="F68" s="21">
        <f>SUMIFS('9. Adjustment (MHSA)'!$F$13:$F$42,'9. Adjustment (MHSA)'!$D$13:$D$42,"INN",'9. Adjustment (MHSA)'!$E$13:$E$42,"FY 2010-11")</f>
        <v>0</v>
      </c>
      <c r="G68" s="21">
        <f>SUMIFS('9. Adjustment (MHSA)'!$F$13:$F$42,'9. Adjustment (MHSA)'!$D$13:$D$42,"WET",'9. Adjustment (MHSA)'!$E$13:$E$42,"FY 2010-11")</f>
        <v>0</v>
      </c>
      <c r="H68" s="21">
        <f>SUMIFS('9. Adjustment (MHSA)'!$F$13:$F$42,'9. Adjustment (MHSA)'!$D$13:$D$42,"CFTN",'9. Adjustment (MHSA)'!$E$13:$E$42,"FY 2010-11")</f>
        <v>0</v>
      </c>
      <c r="I68" s="21">
        <f>SUMIFS('9. Adjustment (MHSA)'!$F$13:$F$42,'9. Adjustment (MHSA)'!$D$13:$D$42,"TTACB",'9. Adjustment (MHSA)'!$E$13:$E$42,"FY 2010-11")</f>
        <v>0</v>
      </c>
      <c r="J68" s="21">
        <f>SUMIFS('9. Adjustment (MHSA)'!$F$13:$F$42,'9. Adjustment (MHSA)'!$D$13:$D$42,"WET RP",'9. Adjustment (MHSA)'!$E$13:$E$42,"FY 2010-11")</f>
        <v>0</v>
      </c>
      <c r="K68" s="21">
        <f>SUMIFS('9. Adjustment (MHSA)'!$F$13:$F$42,'9. Adjustment (MHSA)'!$D$13:$D$42,"PEI SW",'9. Adjustment (MHSA)'!$E$13:$E$42,"FY 2010-11")</f>
        <v>0</v>
      </c>
      <c r="L68" s="20"/>
      <c r="M68" s="20"/>
      <c r="N68" s="21">
        <f t="shared" si="8"/>
        <v>0</v>
      </c>
    </row>
    <row r="69" spans="1:14" ht="18.75" customHeight="1" x14ac:dyDescent="0.2">
      <c r="A69" s="97"/>
      <c r="B69" s="99">
        <v>7</v>
      </c>
      <c r="C69" s="19" t="s">
        <v>49</v>
      </c>
      <c r="D69" s="21">
        <f>SUMIFS('9. Adjustment (MHSA)'!$F$13:$F$42,'9. Adjustment (MHSA)'!$D$13:$D$42,"CSS",'9. Adjustment (MHSA)'!$E$13:$E$42,"FY 2011-12")</f>
        <v>0</v>
      </c>
      <c r="E69" s="21">
        <f>SUMIFS('9. Adjustment (MHSA)'!$F$13:$F$42,'9. Adjustment (MHSA)'!$D$13:$D$42,"PEI",'9. Adjustment (MHSA)'!$E$13:$E$42,"FY 2011-12")</f>
        <v>0</v>
      </c>
      <c r="F69" s="21">
        <f>SUMIFS('9. Adjustment (MHSA)'!$F$13:$F$42,'9. Adjustment (MHSA)'!$D$13:$D$42,"INN",'9. Adjustment (MHSA)'!$E$13:$E$42,"FY 2011-12")</f>
        <v>0</v>
      </c>
      <c r="G69" s="21">
        <f>SUMIFS('9. Adjustment (MHSA)'!$F$13:$F$42,'9. Adjustment (MHSA)'!$D$13:$D$42,"WET",'9. Adjustment (MHSA)'!$E$13:$E$42,"FY 2011-12")</f>
        <v>0</v>
      </c>
      <c r="H69" s="21">
        <f>SUMIFS('9. Adjustment (MHSA)'!$F$13:$F$42,'9. Adjustment (MHSA)'!$D$13:$D$42,"CFTN",'9. Adjustment (MHSA)'!$E$13:$E$42,"FY 2011-12")</f>
        <v>0</v>
      </c>
      <c r="I69" s="21">
        <f>SUMIFS('9. Adjustment (MHSA)'!$F$13:$F$42,'9. Adjustment (MHSA)'!$D$13:$D$42,"TTACB",'9. Adjustment (MHSA)'!$E$13:$E$42,"FY 2011-12")</f>
        <v>0</v>
      </c>
      <c r="J69" s="21">
        <f>SUMIFS('9. Adjustment (MHSA)'!$F$13:$F$42,'9. Adjustment (MHSA)'!$D$13:$D$42,"WET RP",'9. Adjustment (MHSA)'!$E$13:$E$42,"FY 2011-12")</f>
        <v>0</v>
      </c>
      <c r="K69" s="21">
        <f>SUMIFS('9. Adjustment (MHSA)'!$F$13:$F$42,'9. Adjustment (MHSA)'!$D$13:$D$42,"PEI SW",'9. Adjustment (MHSA)'!$E$13:$E$42,"FY 2011-12")</f>
        <v>0</v>
      </c>
      <c r="L69" s="20"/>
      <c r="M69" s="20"/>
      <c r="N69" s="21">
        <f t="shared" si="8"/>
        <v>0</v>
      </c>
    </row>
    <row r="70" spans="1:14" ht="18.75" customHeight="1" x14ac:dyDescent="0.2">
      <c r="A70" s="97"/>
      <c r="B70" s="99">
        <v>8</v>
      </c>
      <c r="C70" s="19" t="s">
        <v>50</v>
      </c>
      <c r="D70" s="21">
        <f>SUMIFS('9. Adjustment (MHSA)'!$F$13:$F$42,'9. Adjustment (MHSA)'!$D$13:$D$42,"CSS",'9. Adjustment (MHSA)'!$E$13:$E$42,"FY 2012-13")</f>
        <v>0</v>
      </c>
      <c r="E70" s="21">
        <f>SUMIFS('9. Adjustment (MHSA)'!$F$13:$F$42,'9. Adjustment (MHSA)'!$D$13:$D$42,"PEI",'9. Adjustment (MHSA)'!$E$13:$E$42,"FY 2012-13")</f>
        <v>0</v>
      </c>
      <c r="F70" s="21">
        <f>SUMIFS('9. Adjustment (MHSA)'!$F$13:$F$42,'9. Adjustment (MHSA)'!$D$13:$D$42,"INN",'9. Adjustment (MHSA)'!$E$13:$E$42,"FY 2012-13")</f>
        <v>0</v>
      </c>
      <c r="G70" s="21">
        <f>SUMIFS('9. Adjustment (MHSA)'!$F$13:$F$42,'9. Adjustment (MHSA)'!$D$13:$D$42,"WET",'9. Adjustment (MHSA)'!$E$13:$E$42,"FY 2012-13")</f>
        <v>0</v>
      </c>
      <c r="H70" s="21">
        <f>SUMIFS('9. Adjustment (MHSA)'!$F$13:$F$42,'9. Adjustment (MHSA)'!$D$13:$D$42,"CFTN",'9. Adjustment (MHSA)'!$E$13:$E$42,"FY 2012-13")</f>
        <v>0</v>
      </c>
      <c r="I70" s="21">
        <f>SUMIFS('9. Adjustment (MHSA)'!$F$13:$F$42,'9. Adjustment (MHSA)'!$D$13:$D$42,"TTACB",'9. Adjustment (MHSA)'!$E$13:$E$42,"FY 2012-13")</f>
        <v>0</v>
      </c>
      <c r="J70" s="21">
        <f>SUMIFS('9. Adjustment (MHSA)'!$F$13:$F$42,'9. Adjustment (MHSA)'!$D$13:$D$42,"WET RP",'9. Adjustment (MHSA)'!$E$13:$E$42,"FY 2012-13")</f>
        <v>0</v>
      </c>
      <c r="K70" s="20"/>
      <c r="L70" s="20"/>
      <c r="M70" s="20"/>
      <c r="N70" s="21">
        <f t="shared" si="8"/>
        <v>0</v>
      </c>
    </row>
    <row r="71" spans="1:14" ht="18.75" customHeight="1" x14ac:dyDescent="0.2">
      <c r="A71" s="97"/>
      <c r="B71" s="99">
        <v>9</v>
      </c>
      <c r="C71" s="19" t="s">
        <v>51</v>
      </c>
      <c r="D71" s="21">
        <f>SUMIFS('9. Adjustment (MHSA)'!$F$13:$F$42,'9. Adjustment (MHSA)'!$D$13:$D$42,"CSS",'9. Adjustment (MHSA)'!$E$13:$E$42,"FY 2013-14")</f>
        <v>0</v>
      </c>
      <c r="E71" s="21">
        <f>SUMIFS('9. Adjustment (MHSA)'!$F$13:$F$42,'9. Adjustment (MHSA)'!$D$13:$D$42,"PEI",'9. Adjustment (MHSA)'!$E$13:$E$42,"FY 2013-14")</f>
        <v>0</v>
      </c>
      <c r="F71" s="21">
        <f>SUMIFS('9. Adjustment (MHSA)'!$F$13:$F$42,'9. Adjustment (MHSA)'!$D$13:$D$42,"INN",'9. Adjustment (MHSA)'!$E$13:$E$42,"FY 2013-14")</f>
        <v>0</v>
      </c>
      <c r="G71" s="21">
        <f>SUMIFS('9. Adjustment (MHSA)'!$F$13:$F$42,'9. Adjustment (MHSA)'!$D$13:$D$42,"WET",'9. Adjustment (MHSA)'!$E$13:$E$42,"FY 2013-14")</f>
        <v>0</v>
      </c>
      <c r="H71" s="21">
        <f>SUMIFS('9. Adjustment (MHSA)'!$F$13:$F$42,'9. Adjustment (MHSA)'!$D$13:$D$42,"CFTN",'9. Adjustment (MHSA)'!$E$13:$E$42,"FY 2013-14")</f>
        <v>0</v>
      </c>
      <c r="I71" s="21">
        <f>SUMIFS('9. Adjustment (MHSA)'!$F$13:$F$42,'9. Adjustment (MHSA)'!$D$13:$D$42,"TTACB",'9. Adjustment (MHSA)'!$E$13:$E$42,"FY 2013-14")</f>
        <v>0</v>
      </c>
      <c r="J71" s="21">
        <f>SUMIFS('9. Adjustment (MHSA)'!$F$13:$F$42,'9. Adjustment (MHSA)'!$D$13:$D$42,"WET RP",'9. Adjustment (MHSA)'!$E$13:$E$42,"FY 2013-14")</f>
        <v>0</v>
      </c>
      <c r="K71" s="20"/>
      <c r="L71" s="20"/>
      <c r="M71" s="20"/>
      <c r="N71" s="21">
        <f t="shared" si="8"/>
        <v>0</v>
      </c>
    </row>
    <row r="72" spans="1:14" ht="17.25" customHeight="1" x14ac:dyDescent="0.2">
      <c r="A72" s="97"/>
      <c r="B72" s="99">
        <v>10</v>
      </c>
      <c r="C72" s="19" t="s">
        <v>52</v>
      </c>
      <c r="D72" s="21">
        <f>SUMIFS('9. Adjustment (MHSA)'!$F$13:$F$42,'9. Adjustment (MHSA)'!$D$13:$D$42,"CSS",'9. Adjustment (MHSA)'!$E$13:$E$42,"FY 2014-15")</f>
        <v>0</v>
      </c>
      <c r="E72" s="21">
        <f>SUMIFS('9. Adjustment (MHSA)'!$F$13:$F$42,'9. Adjustment (MHSA)'!$D$13:$D$42,"PEI",'9. Adjustment (MHSA)'!$E$13:$E$42,"FY 2014-15")</f>
        <v>0</v>
      </c>
      <c r="F72" s="21">
        <f>SUMIFS('9. Adjustment (MHSA)'!$F$13:$F$42,'9. Adjustment (MHSA)'!$D$13:$D$42,"INN",'9. Adjustment (MHSA)'!$E$13:$E$42,"FY 2014-15")</f>
        <v>0</v>
      </c>
      <c r="G72" s="21">
        <f>SUMIFS('9. Adjustment (MHSA)'!$F$13:$F$42,'9. Adjustment (MHSA)'!$D$13:$D$42,"WET",'9. Adjustment (MHSA)'!$E$13:$E$42,"FY 2014-15")</f>
        <v>0</v>
      </c>
      <c r="H72" s="21">
        <f>SUMIFS('9. Adjustment (MHSA)'!$F$13:$F$42,'9. Adjustment (MHSA)'!$D$13:$D$42,"CFTN",'9. Adjustment (MHSA)'!$E$13:$E$42,"FY 2014-15")</f>
        <v>0</v>
      </c>
      <c r="I72" s="21">
        <f>SUMIFS('9. Adjustment (MHSA)'!$F$13:$F$42,'9. Adjustment (MHSA)'!$D$13:$D$42,"TTACB",'9. Adjustment (MHSA)'!$E$13:$E$42,"FY 2014-15")</f>
        <v>0</v>
      </c>
      <c r="J72" s="21">
        <f>SUMIFS('9. Adjustment (MHSA)'!$F$13:$F$42,'9. Adjustment (MHSA)'!$D$13:$D$42,"WET RP",'9. Adjustment (MHSA)'!$E$13:$E$42,"FY 2014-15")</f>
        <v>0</v>
      </c>
      <c r="K72" s="20"/>
      <c r="L72" s="21">
        <f>SUMIFS('9. Adjustment (MHSA)'!$F$13:$F$42,'9. Adjustment (MHSA)'!$D$13:$D$42,"MHSA HP",'9. Adjustment (MHSA)'!$E$13:$E$42,"FY 2014-15")</f>
        <v>0</v>
      </c>
      <c r="M72" s="20"/>
      <c r="N72" s="21">
        <f t="shared" si="8"/>
        <v>0</v>
      </c>
    </row>
    <row r="73" spans="1:14" ht="18.75" customHeight="1" x14ac:dyDescent="0.2">
      <c r="A73" s="97"/>
      <c r="B73" s="99">
        <v>11</v>
      </c>
      <c r="C73" s="19" t="s">
        <v>53</v>
      </c>
      <c r="D73" s="21">
        <f>SUMIFS('9. Adjustment (MHSA)'!$F$13:$F$42,'9. Adjustment (MHSA)'!$D$13:$D$42,"CSS",'9. Adjustment (MHSA)'!$E$13:$E$42,"FY 2015-16")</f>
        <v>0</v>
      </c>
      <c r="E73" s="21">
        <f>SUMIFS('9. Adjustment (MHSA)'!$F$13:$F$42,'9. Adjustment (MHSA)'!$D$13:$D$42,"PEI",'9. Adjustment (MHSA)'!$E$13:$E$42,"FY 2015-16")</f>
        <v>0</v>
      </c>
      <c r="F73" s="21">
        <f>SUMIFS('9. Adjustment (MHSA)'!$F$13:$F$42,'9. Adjustment (MHSA)'!$D$13:$D$42,"INN",'9. Adjustment (MHSA)'!$E$13:$E$42,"FY 2015-16")</f>
        <v>0</v>
      </c>
      <c r="G73" s="21">
        <f>SUMIFS('9. Adjustment (MHSA)'!$F$13:$F$42,'9. Adjustment (MHSA)'!$D$13:$D$42,"WET",'9. Adjustment (MHSA)'!$E$13:$E$42,"FY 2015-16")</f>
        <v>0</v>
      </c>
      <c r="H73" s="21">
        <f>SUMIFS('9. Adjustment (MHSA)'!$F$13:$F$42,'9. Adjustment (MHSA)'!$D$13:$D$42,"CFTN",'9. Adjustment (MHSA)'!$E$13:$E$42,"FY 2015-16")</f>
        <v>0</v>
      </c>
      <c r="I73" s="21">
        <f>SUMIFS('9. Adjustment (MHSA)'!$F$13:$F$42,'9. Adjustment (MHSA)'!$D$13:$D$42,"TTACB",'9. Adjustment (MHSA)'!$E$13:$E$42,"FY 2015-16")</f>
        <v>0</v>
      </c>
      <c r="J73" s="21">
        <f>SUMIFS('9. Adjustment (MHSA)'!$F$13:$F$42,'9. Adjustment (MHSA)'!$D$13:$D$42,"WET RP",'9. Adjustment (MHSA)'!$E$13:$E$42,"FY 2015-16")</f>
        <v>0</v>
      </c>
      <c r="K73" s="20"/>
      <c r="L73" s="21">
        <f>SUMIFS('9. Adjustment (MHSA)'!$F$13:$F$42,'9. Adjustment (MHSA)'!$D$13:$D$42,"MHSA HP",'9. Adjustment (MHSA)'!$E$13:$E$42,"FY 2015-16")</f>
        <v>0</v>
      </c>
      <c r="M73" s="20"/>
      <c r="N73" s="21">
        <f t="shared" si="8"/>
        <v>0</v>
      </c>
    </row>
    <row r="74" spans="1:14" ht="18.75" customHeight="1" x14ac:dyDescent="0.2">
      <c r="A74" s="97"/>
      <c r="B74" s="99">
        <v>12</v>
      </c>
      <c r="C74" s="19" t="s">
        <v>66</v>
      </c>
      <c r="D74" s="21">
        <f>SUMIFS('9. Adjustment (MHSA)'!$F$13:$F$42,'9. Adjustment (MHSA)'!$D$13:$D$42,"CSS",'9. Adjustment (MHSA)'!$E$13:$E$42,"FY 2016-17")</f>
        <v>0</v>
      </c>
      <c r="E74" s="21">
        <f>SUMIFS('9. Adjustment (MHSA)'!$F$13:$F$42,'9. Adjustment (MHSA)'!$D$13:$D$42,"PEI",'9. Adjustment (MHSA)'!$E$13:$E$42,"FY 2016-17")</f>
        <v>0</v>
      </c>
      <c r="F74" s="21">
        <f>SUMIFS('9. Adjustment (MHSA)'!$F$13:$F$42,'9. Adjustment (MHSA)'!$D$13:$D$42,"INN",'9. Adjustment (MHSA)'!$E$13:$E$42,"FY 2016-17")</f>
        <v>0</v>
      </c>
      <c r="G74" s="21">
        <f>SUMIFS('9. Adjustment (MHSA)'!$F$13:$F$42,'9. Adjustment (MHSA)'!$D$13:$D$42,"WET",'9. Adjustment (MHSA)'!$E$13:$E$42,"FY 2016-17")</f>
        <v>0</v>
      </c>
      <c r="H74" s="21">
        <f>SUMIFS('9. Adjustment (MHSA)'!$F$13:$F$42,'9. Adjustment (MHSA)'!$D$13:$D$42,"CFTN",'9. Adjustment (MHSA)'!$E$13:$E$42,"FY 2016-17")</f>
        <v>0</v>
      </c>
      <c r="I74" s="21">
        <f>SUMIFS('9. Adjustment (MHSA)'!$F$13:$F$42,'9. Adjustment (MHSA)'!$D$13:$D$42,"TTACB",'9. Adjustment (MHSA)'!$E$13:$E$42,"FY 2016-17")</f>
        <v>0</v>
      </c>
      <c r="J74" s="21">
        <f>SUMIFS('9. Adjustment (MHSA)'!$F$13:$F$42,'9. Adjustment (MHSA)'!$D$13:$D$42,"WET RP",'9. Adjustment (MHSA)'!$E$13:$E$42,"FY 2016-17")</f>
        <v>0</v>
      </c>
      <c r="K74" s="20"/>
      <c r="L74" s="21">
        <f>SUMIFS('9. Adjustment (MHSA)'!$F$13:$F$42,'9. Adjustment (MHSA)'!$D$13:$D$42,"MHSA HP",'9. Adjustment (MHSA)'!$E$13:$E$42,"FY 2016-17")</f>
        <v>0</v>
      </c>
      <c r="M74" s="20"/>
      <c r="N74" s="21">
        <f t="shared" si="8"/>
        <v>0</v>
      </c>
    </row>
    <row r="75" spans="1:14" ht="18.75" customHeight="1" x14ac:dyDescent="0.2">
      <c r="A75" s="97"/>
      <c r="B75" s="100">
        <v>13</v>
      </c>
      <c r="C75" s="22" t="s">
        <v>54</v>
      </c>
      <c r="D75" s="23">
        <f>SUMIFS('9. Adjustment (MHSA)'!$F$48:$F$77,'9. Adjustment (MHSA)'!$E$48:$E$77,"CSS")</f>
        <v>0</v>
      </c>
      <c r="E75" s="23">
        <f>SUMIFS('9. Adjustment (MHSA)'!$F$48:$F$77,'9. Adjustment (MHSA)'!$E$48:$E$77,"PEI")</f>
        <v>0</v>
      </c>
      <c r="F75" s="23">
        <f>SUMIFS('9. Adjustment (MHSA)'!$F$48:$F$77,'9. Adjustment (MHSA)'!$E$48:$E$77,"INN")</f>
        <v>0</v>
      </c>
      <c r="G75" s="23">
        <f>SUMIFS('9. Adjustment (MHSA)'!$F$48:$F$77,'9. Adjustment (MHSA)'!$E$48:$E$77,"WET")</f>
        <v>0</v>
      </c>
      <c r="H75" s="23">
        <f>SUMIFS('9. Adjustment (MHSA)'!$F$48:$F$77,'9. Adjustment (MHSA)'!$E$48:$E$77,"CFTN")</f>
        <v>0</v>
      </c>
      <c r="I75" s="23">
        <f>SUMIFS('9. Adjustment (MHSA)'!$F$48:$F$77,'9. Adjustment (MHSA)'!$E$48:$E$77,"TTACB")</f>
        <v>0</v>
      </c>
      <c r="J75" s="23">
        <f>SUMIFS('9. Adjustment (MHSA)'!$F$48:$F$77,'9. Adjustment (MHSA)'!$E$48:$E$77,"WET RP")</f>
        <v>0</v>
      </c>
      <c r="K75" s="23">
        <f>SUMIFS('9. Adjustment (MHSA)'!$F$48:$F$77,'9. Adjustment (MHSA)'!$E$48:$E$77,"PEI SW")</f>
        <v>0</v>
      </c>
      <c r="L75" s="23">
        <f>SUMIFS('9. Adjustment (MHSA)'!$F$48:$F$77,'9. Adjustment (MHSA)'!$E$48:$E$77,"MHSA HP")</f>
        <v>0</v>
      </c>
      <c r="M75" s="23">
        <f>SUMIFS('9. Adjustment (MHSA)'!$F$48:$F$77,'9. Adjustment (MHSA)'!$E$48:$E$77,"Prudent Reserve")</f>
        <v>0</v>
      </c>
      <c r="N75" s="23">
        <f t="shared" si="8"/>
        <v>0</v>
      </c>
    </row>
    <row r="76" spans="1:14" ht="17.25" customHeight="1" x14ac:dyDescent="0.25">
      <c r="A76" s="97"/>
      <c r="B76" s="101">
        <v>14</v>
      </c>
      <c r="C76" s="24" t="s">
        <v>55</v>
      </c>
      <c r="D76" s="10">
        <f>SUM(D63:D75)</f>
        <v>0</v>
      </c>
      <c r="E76" s="10">
        <f t="shared" ref="E76:M76" si="9">SUM(E63:E75)</f>
        <v>0</v>
      </c>
      <c r="F76" s="10">
        <f t="shared" si="9"/>
        <v>0</v>
      </c>
      <c r="G76" s="10">
        <f t="shared" si="9"/>
        <v>0</v>
      </c>
      <c r="H76" s="10">
        <f t="shared" si="9"/>
        <v>0</v>
      </c>
      <c r="I76" s="10">
        <f t="shared" si="9"/>
        <v>0</v>
      </c>
      <c r="J76" s="10">
        <f t="shared" si="9"/>
        <v>0</v>
      </c>
      <c r="K76" s="10">
        <f t="shared" si="9"/>
        <v>0</v>
      </c>
      <c r="L76" s="10">
        <f t="shared" si="9"/>
        <v>0</v>
      </c>
      <c r="M76" s="10">
        <f t="shared" si="9"/>
        <v>0</v>
      </c>
      <c r="N76" s="10">
        <f t="shared" si="8"/>
        <v>0</v>
      </c>
    </row>
    <row r="77" spans="1:14" ht="24" customHeight="1" x14ac:dyDescent="0.25">
      <c r="A77" s="97"/>
      <c r="B77" s="398" t="s">
        <v>278</v>
      </c>
      <c r="C77" s="399"/>
      <c r="D77" s="26"/>
      <c r="E77" s="26"/>
      <c r="F77" s="26"/>
      <c r="G77" s="26"/>
      <c r="H77" s="26"/>
      <c r="I77" s="26"/>
      <c r="J77" s="26"/>
      <c r="K77" s="26"/>
      <c r="L77" s="26"/>
      <c r="M77" s="26"/>
      <c r="N77" s="26"/>
    </row>
    <row r="78" spans="1:14" ht="17.25" customHeight="1" x14ac:dyDescent="0.2">
      <c r="A78" s="97"/>
      <c r="B78" s="99">
        <v>1</v>
      </c>
      <c r="C78" s="19" t="s">
        <v>44</v>
      </c>
      <c r="D78" s="21">
        <f>'10. Adjustment (FFP)'!H13</f>
        <v>0</v>
      </c>
      <c r="E78" s="21">
        <f>'10. Adjustment (FFP)'!H23</f>
        <v>0</v>
      </c>
      <c r="F78" s="21">
        <f>'10. Adjustment (FFP)'!H33</f>
        <v>0</v>
      </c>
      <c r="G78" s="21">
        <f>'10. Adjustment (FFP)'!H43</f>
        <v>0</v>
      </c>
      <c r="H78" s="20"/>
      <c r="I78" s="20"/>
      <c r="J78" s="20"/>
      <c r="K78" s="20"/>
      <c r="L78" s="20"/>
      <c r="M78" s="20"/>
      <c r="N78" s="21">
        <f>SUM(D78:M78)</f>
        <v>0</v>
      </c>
    </row>
    <row r="79" spans="1:14" ht="17.25" customHeight="1" x14ac:dyDescent="0.2">
      <c r="A79" s="97"/>
      <c r="B79" s="99">
        <v>2</v>
      </c>
      <c r="C79" s="19" t="s">
        <v>45</v>
      </c>
      <c r="D79" s="21">
        <f>'10. Adjustment (FFP)'!H14</f>
        <v>0</v>
      </c>
      <c r="E79" s="21">
        <f>'10. Adjustment (FFP)'!H24</f>
        <v>0</v>
      </c>
      <c r="F79" s="21">
        <f>'10. Adjustment (FFP)'!H34</f>
        <v>0</v>
      </c>
      <c r="G79" s="21">
        <f>'10. Adjustment (FFP)'!H44</f>
        <v>0</v>
      </c>
      <c r="H79" s="20"/>
      <c r="I79" s="20"/>
      <c r="J79" s="20"/>
      <c r="K79" s="20"/>
      <c r="L79" s="20"/>
      <c r="M79" s="20"/>
      <c r="N79" s="21">
        <f t="shared" ref="N79:N88" si="10">SUM(D79:M79)</f>
        <v>0</v>
      </c>
    </row>
    <row r="80" spans="1:14" ht="16.5" customHeight="1" x14ac:dyDescent="0.2">
      <c r="A80" s="97"/>
      <c r="B80" s="99">
        <v>3</v>
      </c>
      <c r="C80" s="19" t="s">
        <v>46</v>
      </c>
      <c r="D80" s="21">
        <f>'10. Adjustment (FFP)'!H15</f>
        <v>0</v>
      </c>
      <c r="E80" s="21">
        <f>'10. Adjustment (FFP)'!H25</f>
        <v>0</v>
      </c>
      <c r="F80" s="21">
        <f>'10. Adjustment (FFP)'!H35</f>
        <v>0</v>
      </c>
      <c r="G80" s="21">
        <f>'10. Adjustment (FFP)'!H45</f>
        <v>0</v>
      </c>
      <c r="H80" s="20"/>
      <c r="I80" s="20"/>
      <c r="J80" s="20"/>
      <c r="K80" s="20"/>
      <c r="L80" s="20"/>
      <c r="M80" s="20"/>
      <c r="N80" s="21">
        <f t="shared" si="10"/>
        <v>0</v>
      </c>
    </row>
    <row r="81" spans="1:14" ht="17.25" customHeight="1" x14ac:dyDescent="0.2">
      <c r="A81" s="97"/>
      <c r="B81" s="99">
        <v>4</v>
      </c>
      <c r="C81" s="19" t="s">
        <v>47</v>
      </c>
      <c r="D81" s="21">
        <f>'10. Adjustment (FFP)'!H16</f>
        <v>0</v>
      </c>
      <c r="E81" s="21">
        <f>'10. Adjustment (FFP)'!H26</f>
        <v>0</v>
      </c>
      <c r="F81" s="21">
        <f>'10. Adjustment (FFP)'!H36</f>
        <v>0</v>
      </c>
      <c r="G81" s="21">
        <f>'10. Adjustment (FFP)'!H46</f>
        <v>0</v>
      </c>
      <c r="H81" s="20"/>
      <c r="I81" s="20"/>
      <c r="J81" s="20"/>
      <c r="K81" s="20"/>
      <c r="L81" s="20"/>
      <c r="M81" s="20"/>
      <c r="N81" s="21">
        <f t="shared" si="10"/>
        <v>0</v>
      </c>
    </row>
    <row r="82" spans="1:14" ht="17.25" customHeight="1" x14ac:dyDescent="0.2">
      <c r="A82" s="97"/>
      <c r="B82" s="99">
        <v>5</v>
      </c>
      <c r="C82" s="19" t="s">
        <v>48</v>
      </c>
      <c r="D82" s="21">
        <f>'10. Adjustment (FFP)'!H17</f>
        <v>0</v>
      </c>
      <c r="E82" s="21">
        <f>'10. Adjustment (FFP)'!H27</f>
        <v>0</v>
      </c>
      <c r="F82" s="21">
        <f>'10. Adjustment (FFP)'!H37</f>
        <v>0</v>
      </c>
      <c r="G82" s="21">
        <f>'10. Adjustment (FFP)'!H47</f>
        <v>0</v>
      </c>
      <c r="H82" s="20"/>
      <c r="I82" s="20"/>
      <c r="J82" s="20"/>
      <c r="K82" s="20"/>
      <c r="L82" s="20"/>
      <c r="M82" s="20"/>
      <c r="N82" s="21">
        <f t="shared" si="10"/>
        <v>0</v>
      </c>
    </row>
    <row r="83" spans="1:14" ht="16.5" customHeight="1" x14ac:dyDescent="0.2">
      <c r="A83" s="97"/>
      <c r="B83" s="99">
        <v>6</v>
      </c>
      <c r="C83" s="19" t="s">
        <v>49</v>
      </c>
      <c r="D83" s="21">
        <f>'10. Adjustment (FFP)'!H18</f>
        <v>0</v>
      </c>
      <c r="E83" s="21">
        <f>'10. Adjustment (FFP)'!H28</f>
        <v>0</v>
      </c>
      <c r="F83" s="21">
        <f>'10. Adjustment (FFP)'!H38</f>
        <v>0</v>
      </c>
      <c r="G83" s="21">
        <f>'10. Adjustment (FFP)'!H48</f>
        <v>0</v>
      </c>
      <c r="H83" s="20"/>
      <c r="I83" s="20"/>
      <c r="J83" s="20"/>
      <c r="K83" s="20"/>
      <c r="L83" s="20"/>
      <c r="M83" s="20"/>
      <c r="N83" s="21">
        <f t="shared" si="10"/>
        <v>0</v>
      </c>
    </row>
    <row r="84" spans="1:14" ht="14.25" customHeight="1" x14ac:dyDescent="0.2">
      <c r="A84" s="97"/>
      <c r="B84" s="99">
        <v>7</v>
      </c>
      <c r="C84" s="19" t="s">
        <v>50</v>
      </c>
      <c r="D84" s="21">
        <f>'10. Adjustment (FFP)'!H19</f>
        <v>0</v>
      </c>
      <c r="E84" s="21">
        <f>'10. Adjustment (FFP)'!H29</f>
        <v>0</v>
      </c>
      <c r="F84" s="21">
        <f>'10. Adjustment (FFP)'!H39</f>
        <v>0</v>
      </c>
      <c r="G84" s="21">
        <f>'10. Adjustment (FFP)'!H49</f>
        <v>0</v>
      </c>
      <c r="H84" s="20"/>
      <c r="I84" s="20"/>
      <c r="J84" s="20"/>
      <c r="K84" s="20"/>
      <c r="L84" s="20"/>
      <c r="M84" s="20"/>
      <c r="N84" s="21">
        <f t="shared" si="10"/>
        <v>0</v>
      </c>
    </row>
    <row r="85" spans="1:14" ht="17.25" customHeight="1" x14ac:dyDescent="0.2">
      <c r="A85" s="97"/>
      <c r="B85" s="99">
        <v>8</v>
      </c>
      <c r="C85" s="19" t="s">
        <v>51</v>
      </c>
      <c r="D85" s="21">
        <f>'10. Adjustment (FFP)'!H20</f>
        <v>0</v>
      </c>
      <c r="E85" s="21">
        <f>'10. Adjustment (FFP)'!H30</f>
        <v>0</v>
      </c>
      <c r="F85" s="21">
        <f>'10. Adjustment (FFP)'!H40</f>
        <v>0</v>
      </c>
      <c r="G85" s="21">
        <f>'10. Adjustment (FFP)'!H50</f>
        <v>0</v>
      </c>
      <c r="H85" s="20"/>
      <c r="I85" s="20"/>
      <c r="J85" s="20"/>
      <c r="K85" s="20"/>
      <c r="L85" s="20"/>
      <c r="M85" s="20"/>
      <c r="N85" s="21">
        <f t="shared" si="10"/>
        <v>0</v>
      </c>
    </row>
    <row r="86" spans="1:14" ht="17.25" customHeight="1" x14ac:dyDescent="0.2">
      <c r="A86" s="97"/>
      <c r="B86" s="99">
        <v>9</v>
      </c>
      <c r="C86" s="19" t="s">
        <v>52</v>
      </c>
      <c r="D86" s="21">
        <f>'10. Adjustment (FFP)'!H21</f>
        <v>0</v>
      </c>
      <c r="E86" s="21">
        <f>'10. Adjustment (FFP)'!H31</f>
        <v>0</v>
      </c>
      <c r="F86" s="21">
        <f>'10. Adjustment (FFP)'!H41</f>
        <v>0</v>
      </c>
      <c r="G86" s="21">
        <f>'10. Adjustment (FFP)'!H51</f>
        <v>0</v>
      </c>
      <c r="H86" s="20"/>
      <c r="I86" s="20"/>
      <c r="J86" s="20"/>
      <c r="K86" s="20"/>
      <c r="L86" s="20"/>
      <c r="M86" s="20"/>
      <c r="N86" s="21">
        <f t="shared" si="10"/>
        <v>0</v>
      </c>
    </row>
    <row r="87" spans="1:14" ht="17.25" customHeight="1" x14ac:dyDescent="0.2">
      <c r="A87" s="97"/>
      <c r="B87" s="100">
        <v>10</v>
      </c>
      <c r="C87" s="22" t="s">
        <v>53</v>
      </c>
      <c r="D87" s="23">
        <f>'10. Adjustment (FFP)'!H22</f>
        <v>0</v>
      </c>
      <c r="E87" s="23">
        <f>'10. Adjustment (FFP)'!H32</f>
        <v>0</v>
      </c>
      <c r="F87" s="23">
        <f>'10. Adjustment (FFP)'!H42</f>
        <v>0</v>
      </c>
      <c r="G87" s="23">
        <f>'10. Adjustment (FFP)'!H52</f>
        <v>0</v>
      </c>
      <c r="H87" s="30"/>
      <c r="I87" s="30"/>
      <c r="J87" s="30"/>
      <c r="K87" s="30"/>
      <c r="L87" s="30"/>
      <c r="M87" s="30"/>
      <c r="N87" s="23">
        <f t="shared" si="10"/>
        <v>0</v>
      </c>
    </row>
    <row r="88" spans="1:14" ht="17.25" customHeight="1" x14ac:dyDescent="0.25">
      <c r="A88" s="97"/>
      <c r="B88" s="101">
        <v>11</v>
      </c>
      <c r="C88" s="24" t="s">
        <v>55</v>
      </c>
      <c r="D88" s="10">
        <f>SUM(D78:D87)</f>
        <v>0</v>
      </c>
      <c r="E88" s="10">
        <f>SUM(E78:E87)</f>
        <v>0</v>
      </c>
      <c r="F88" s="10">
        <f>SUM(F78:F87)</f>
        <v>0</v>
      </c>
      <c r="G88" s="10">
        <f>SUM(G78:G87)</f>
        <v>0</v>
      </c>
      <c r="H88" s="32"/>
      <c r="I88" s="32"/>
      <c r="J88" s="32"/>
      <c r="K88" s="32"/>
      <c r="L88" s="32"/>
      <c r="M88" s="32"/>
      <c r="N88" s="10">
        <f t="shared" si="10"/>
        <v>0</v>
      </c>
    </row>
    <row r="89" spans="1:14" ht="24" customHeight="1" x14ac:dyDescent="0.25">
      <c r="A89" s="97"/>
      <c r="B89" s="91" t="s">
        <v>279</v>
      </c>
      <c r="C89" s="90"/>
      <c r="D89" s="93"/>
      <c r="E89" s="26"/>
      <c r="F89" s="26"/>
      <c r="G89" s="26"/>
      <c r="H89" s="26"/>
      <c r="I89" s="26"/>
      <c r="J89" s="26"/>
      <c r="K89" s="26"/>
      <c r="L89" s="26"/>
      <c r="M89" s="26"/>
      <c r="N89" s="26"/>
    </row>
    <row r="90" spans="1:14" ht="24" customHeight="1" x14ac:dyDescent="0.2">
      <c r="A90" s="97"/>
      <c r="B90" s="99">
        <v>1</v>
      </c>
      <c r="C90" s="19" t="s">
        <v>43</v>
      </c>
      <c r="D90" s="36"/>
      <c r="E90" s="36"/>
      <c r="F90" s="36"/>
      <c r="G90" s="36"/>
      <c r="H90" s="36"/>
      <c r="I90" s="36"/>
      <c r="J90" s="36"/>
      <c r="K90" s="36"/>
      <c r="L90" s="36"/>
      <c r="M90" s="21">
        <f>M16+M30+M57+M58+M59+M63</f>
        <v>0</v>
      </c>
      <c r="N90" s="21">
        <f>M90</f>
        <v>0</v>
      </c>
    </row>
    <row r="91" spans="1:14" ht="24" customHeight="1" x14ac:dyDescent="0.2">
      <c r="A91" s="97"/>
      <c r="B91" s="99">
        <v>2</v>
      </c>
      <c r="C91" s="19" t="s">
        <v>44</v>
      </c>
      <c r="D91" s="20"/>
      <c r="E91" s="20"/>
      <c r="F91" s="20"/>
      <c r="G91" s="21">
        <f t="shared" ref="G91:G98" si="11">G17-G36+G64+G78</f>
        <v>0</v>
      </c>
      <c r="H91" s="20"/>
      <c r="I91" s="20"/>
      <c r="J91" s="20"/>
      <c r="K91" s="20"/>
      <c r="L91" s="20"/>
      <c r="M91" s="20"/>
      <c r="N91" s="21">
        <f>SUM(D91:M91)</f>
        <v>0</v>
      </c>
    </row>
    <row r="92" spans="1:14" ht="24" customHeight="1" x14ac:dyDescent="0.2">
      <c r="A92" s="97"/>
      <c r="B92" s="99">
        <v>3</v>
      </c>
      <c r="C92" s="19" t="s">
        <v>45</v>
      </c>
      <c r="D92" s="20"/>
      <c r="E92" s="20"/>
      <c r="F92" s="20"/>
      <c r="G92" s="21">
        <f t="shared" si="11"/>
        <v>0</v>
      </c>
      <c r="H92" s="21">
        <f t="shared" ref="H92:H98" si="12">H18-H37+H65+H79</f>
        <v>0</v>
      </c>
      <c r="I92" s="20"/>
      <c r="J92" s="20"/>
      <c r="K92" s="20"/>
      <c r="L92" s="20"/>
      <c r="M92" s="20"/>
      <c r="N92" s="21">
        <f t="shared" ref="N92:N103" si="13">SUM(D92:M92)</f>
        <v>0</v>
      </c>
    </row>
    <row r="93" spans="1:14" ht="24" customHeight="1" x14ac:dyDescent="0.2">
      <c r="A93" s="97"/>
      <c r="B93" s="99">
        <v>4</v>
      </c>
      <c r="C93" s="19" t="s">
        <v>46</v>
      </c>
      <c r="D93" s="21">
        <f t="shared" ref="D93:F98" si="14">D19-D38+D66+D80</f>
        <v>0</v>
      </c>
      <c r="E93" s="21">
        <f t="shared" si="14"/>
        <v>0</v>
      </c>
      <c r="F93" s="21">
        <f t="shared" si="14"/>
        <v>0</v>
      </c>
      <c r="G93" s="21">
        <f t="shared" si="11"/>
        <v>0</v>
      </c>
      <c r="H93" s="21">
        <f t="shared" si="12"/>
        <v>471600</v>
      </c>
      <c r="I93" s="21">
        <f t="shared" ref="I93:K96" si="15">I19-I38+I66+I80</f>
        <v>0</v>
      </c>
      <c r="J93" s="21">
        <f t="shared" si="15"/>
        <v>0</v>
      </c>
      <c r="K93" s="21">
        <f t="shared" si="15"/>
        <v>0</v>
      </c>
      <c r="L93" s="20"/>
      <c r="M93" s="20"/>
      <c r="N93" s="21">
        <f t="shared" si="13"/>
        <v>471600</v>
      </c>
    </row>
    <row r="94" spans="1:14" ht="24" customHeight="1" x14ac:dyDescent="0.2">
      <c r="A94" s="97"/>
      <c r="B94" s="99">
        <v>5</v>
      </c>
      <c r="C94" s="19" t="s">
        <v>47</v>
      </c>
      <c r="D94" s="21">
        <f t="shared" si="14"/>
        <v>0</v>
      </c>
      <c r="E94" s="21">
        <f t="shared" si="14"/>
        <v>0</v>
      </c>
      <c r="F94" s="21">
        <f t="shared" si="14"/>
        <v>0</v>
      </c>
      <c r="G94" s="21">
        <f t="shared" si="11"/>
        <v>0</v>
      </c>
      <c r="H94" s="21">
        <f t="shared" si="12"/>
        <v>0</v>
      </c>
      <c r="I94" s="21">
        <f t="shared" si="15"/>
        <v>0</v>
      </c>
      <c r="J94" s="21">
        <f t="shared" si="15"/>
        <v>0</v>
      </c>
      <c r="K94" s="21">
        <f t="shared" si="15"/>
        <v>0</v>
      </c>
      <c r="L94" s="20"/>
      <c r="M94" s="20"/>
      <c r="N94" s="21">
        <f t="shared" si="13"/>
        <v>0</v>
      </c>
    </row>
    <row r="95" spans="1:14" ht="24" customHeight="1" x14ac:dyDescent="0.2">
      <c r="A95" s="97"/>
      <c r="B95" s="99">
        <v>6</v>
      </c>
      <c r="C95" s="19" t="s">
        <v>48</v>
      </c>
      <c r="D95" s="21">
        <f t="shared" si="14"/>
        <v>0</v>
      </c>
      <c r="E95" s="21">
        <f t="shared" si="14"/>
        <v>0</v>
      </c>
      <c r="F95" s="21">
        <f t="shared" si="14"/>
        <v>842402</v>
      </c>
      <c r="G95" s="21">
        <f t="shared" si="11"/>
        <v>0</v>
      </c>
      <c r="H95" s="21">
        <f t="shared" si="12"/>
        <v>0</v>
      </c>
      <c r="I95" s="21">
        <f t="shared" si="15"/>
        <v>0</v>
      </c>
      <c r="J95" s="21">
        <f t="shared" si="15"/>
        <v>0</v>
      </c>
      <c r="K95" s="21">
        <f t="shared" si="15"/>
        <v>0</v>
      </c>
      <c r="L95" s="20"/>
      <c r="M95" s="20"/>
      <c r="N95" s="21">
        <f t="shared" si="13"/>
        <v>842402</v>
      </c>
    </row>
    <row r="96" spans="1:14" ht="24" customHeight="1" x14ac:dyDescent="0.2">
      <c r="A96" s="97"/>
      <c r="B96" s="99">
        <v>7</v>
      </c>
      <c r="C96" s="19" t="s">
        <v>49</v>
      </c>
      <c r="D96" s="21">
        <f t="shared" si="14"/>
        <v>0</v>
      </c>
      <c r="E96" s="21">
        <f t="shared" si="14"/>
        <v>0</v>
      </c>
      <c r="F96" s="21">
        <f t="shared" si="14"/>
        <v>233494</v>
      </c>
      <c r="G96" s="21">
        <f t="shared" si="11"/>
        <v>0</v>
      </c>
      <c r="H96" s="21">
        <f t="shared" si="12"/>
        <v>0</v>
      </c>
      <c r="I96" s="21">
        <f t="shared" si="15"/>
        <v>658</v>
      </c>
      <c r="J96" s="21">
        <f t="shared" si="15"/>
        <v>0</v>
      </c>
      <c r="K96" s="21">
        <f t="shared" si="15"/>
        <v>0</v>
      </c>
      <c r="L96" s="20"/>
      <c r="M96" s="20"/>
      <c r="N96" s="21">
        <f t="shared" si="13"/>
        <v>234152</v>
      </c>
    </row>
    <row r="97" spans="1:14" ht="24" customHeight="1" x14ac:dyDescent="0.2">
      <c r="A97" s="97"/>
      <c r="B97" s="99">
        <v>8</v>
      </c>
      <c r="C97" s="19" t="s">
        <v>50</v>
      </c>
      <c r="D97" s="21">
        <f t="shared" si="14"/>
        <v>0</v>
      </c>
      <c r="E97" s="21">
        <f t="shared" si="14"/>
        <v>0</v>
      </c>
      <c r="F97" s="21">
        <f t="shared" si="14"/>
        <v>385867</v>
      </c>
      <c r="G97" s="21">
        <f t="shared" si="11"/>
        <v>0</v>
      </c>
      <c r="H97" s="21">
        <f t="shared" si="12"/>
        <v>0</v>
      </c>
      <c r="I97" s="20"/>
      <c r="J97" s="21">
        <f>J23-J42+J70+J84</f>
        <v>0</v>
      </c>
      <c r="K97" s="20"/>
      <c r="L97" s="20"/>
      <c r="M97" s="20"/>
      <c r="N97" s="21">
        <f t="shared" si="13"/>
        <v>385867</v>
      </c>
    </row>
    <row r="98" spans="1:14" ht="24" customHeight="1" x14ac:dyDescent="0.2">
      <c r="A98" s="97"/>
      <c r="B98" s="99">
        <v>9</v>
      </c>
      <c r="C98" s="19" t="s">
        <v>51</v>
      </c>
      <c r="D98" s="21">
        <f t="shared" si="14"/>
        <v>0</v>
      </c>
      <c r="E98" s="21">
        <f t="shared" si="14"/>
        <v>0</v>
      </c>
      <c r="F98" s="21">
        <f t="shared" si="14"/>
        <v>299962</v>
      </c>
      <c r="G98" s="21">
        <f t="shared" si="11"/>
        <v>0</v>
      </c>
      <c r="H98" s="21">
        <f t="shared" si="12"/>
        <v>0</v>
      </c>
      <c r="I98" s="20"/>
      <c r="J98" s="21">
        <f>J24-J43+J71+J85</f>
        <v>0</v>
      </c>
      <c r="K98" s="20"/>
      <c r="L98" s="20"/>
      <c r="M98" s="20"/>
      <c r="N98" s="21">
        <f t="shared" si="13"/>
        <v>299962</v>
      </c>
    </row>
    <row r="99" spans="1:14" ht="24" customHeight="1" x14ac:dyDescent="0.2">
      <c r="A99" s="97"/>
      <c r="B99" s="99">
        <v>10</v>
      </c>
      <c r="C99" s="19" t="s">
        <v>52</v>
      </c>
      <c r="D99" s="21">
        <f>D25-D44+D57+D72+D86</f>
        <v>0</v>
      </c>
      <c r="E99" s="21">
        <f>E25-E44+E57+E72+E86</f>
        <v>-1</v>
      </c>
      <c r="F99" s="21">
        <f>F25-F44+F57+F72+F86</f>
        <v>415144</v>
      </c>
      <c r="G99" s="21">
        <f>G25-G44+G57+G72+G86</f>
        <v>0</v>
      </c>
      <c r="H99" s="21">
        <f>H25-H44+H57+H72+H86</f>
        <v>0</v>
      </c>
      <c r="I99" s="20"/>
      <c r="J99" s="21">
        <f>J25-J44+J72+J86</f>
        <v>0</v>
      </c>
      <c r="K99" s="20"/>
      <c r="L99" s="20"/>
      <c r="M99" s="20"/>
      <c r="N99" s="21">
        <f t="shared" si="13"/>
        <v>415143</v>
      </c>
    </row>
    <row r="100" spans="1:14" ht="24" customHeight="1" x14ac:dyDescent="0.2">
      <c r="A100" s="97"/>
      <c r="B100" s="99">
        <v>11</v>
      </c>
      <c r="C100" s="19" t="s">
        <v>53</v>
      </c>
      <c r="D100" s="21">
        <f>D26-D45+D58+D73+D87</f>
        <v>0</v>
      </c>
      <c r="E100" s="21">
        <f>E26-E45+E58+E73+E87</f>
        <v>0</v>
      </c>
      <c r="F100" s="21">
        <f>F26-F45+F58+F73+F87</f>
        <v>347240</v>
      </c>
      <c r="G100" s="21">
        <f>G26-G45+G58+G73+G87</f>
        <v>0</v>
      </c>
      <c r="H100" s="21">
        <f>H26-H45++H58+H73+H87</f>
        <v>0</v>
      </c>
      <c r="I100" s="20"/>
      <c r="J100" s="21">
        <f>J26-J45+J73+J87</f>
        <v>0</v>
      </c>
      <c r="K100" s="20"/>
      <c r="L100" s="21">
        <f>L26-L45+L73+L87</f>
        <v>0</v>
      </c>
      <c r="M100" s="20"/>
      <c r="N100" s="21">
        <f t="shared" si="13"/>
        <v>347240</v>
      </c>
    </row>
    <row r="101" spans="1:14" ht="24" customHeight="1" x14ac:dyDescent="0.2">
      <c r="A101" s="97"/>
      <c r="B101" s="99">
        <v>12</v>
      </c>
      <c r="C101" s="19" t="s">
        <v>66</v>
      </c>
      <c r="D101" s="21">
        <f>D31-D46+D59+D74</f>
        <v>4049802</v>
      </c>
      <c r="E101" s="21">
        <f>E31-E46+E59+E74</f>
        <v>2502543</v>
      </c>
      <c r="F101" s="21">
        <f>F31-F46+F59+F74</f>
        <v>255721</v>
      </c>
      <c r="G101" s="21">
        <f>G31-G46+G59+G74</f>
        <v>-19978</v>
      </c>
      <c r="H101" s="21">
        <f>H31-H46+H59+H74</f>
        <v>-28595</v>
      </c>
      <c r="I101" s="20"/>
      <c r="J101" s="21">
        <f>J31-J46+J74</f>
        <v>0</v>
      </c>
      <c r="K101" s="20"/>
      <c r="L101" s="21">
        <f>L31-L46+L59+L74</f>
        <v>0</v>
      </c>
      <c r="M101" s="20"/>
      <c r="N101" s="21">
        <f t="shared" si="13"/>
        <v>6759493</v>
      </c>
    </row>
    <row r="102" spans="1:14" ht="24" customHeight="1" x14ac:dyDescent="0.2">
      <c r="A102" s="97"/>
      <c r="B102" s="100">
        <v>13</v>
      </c>
      <c r="C102" s="22" t="s">
        <v>54</v>
      </c>
      <c r="D102" s="23">
        <f t="shared" ref="D102:L102" si="16">(D27+D32)-(D47+D75)</f>
        <v>17594</v>
      </c>
      <c r="E102" s="23">
        <f t="shared" si="16"/>
        <v>12723</v>
      </c>
      <c r="F102" s="23">
        <f t="shared" si="16"/>
        <v>10785</v>
      </c>
      <c r="G102" s="23">
        <f t="shared" si="16"/>
        <v>694</v>
      </c>
      <c r="H102" s="23">
        <f t="shared" si="16"/>
        <v>2891</v>
      </c>
      <c r="I102" s="23">
        <f t="shared" si="16"/>
        <v>3</v>
      </c>
      <c r="J102" s="23">
        <f t="shared" si="16"/>
        <v>0</v>
      </c>
      <c r="K102" s="23">
        <f t="shared" si="16"/>
        <v>0</v>
      </c>
      <c r="L102" s="23">
        <f t="shared" si="16"/>
        <v>0</v>
      </c>
      <c r="M102" s="21">
        <f>M27+M32+M60+M75</f>
        <v>0</v>
      </c>
      <c r="N102" s="23">
        <f t="shared" si="13"/>
        <v>44690</v>
      </c>
    </row>
    <row r="103" spans="1:14" ht="24" customHeight="1" x14ac:dyDescent="0.25">
      <c r="A103" s="97"/>
      <c r="B103" s="101">
        <v>14</v>
      </c>
      <c r="C103" s="24" t="s">
        <v>55</v>
      </c>
      <c r="D103" s="10">
        <f>SUM(D90:D102)</f>
        <v>4067396</v>
      </c>
      <c r="E103" s="10">
        <f t="shared" ref="E103:M103" si="17">SUM(E90:E102)</f>
        <v>2515265</v>
      </c>
      <c r="F103" s="10">
        <f t="shared" si="17"/>
        <v>2790615</v>
      </c>
      <c r="G103" s="10">
        <f>SUM(G90:G102)</f>
        <v>-19284</v>
      </c>
      <c r="H103" s="10">
        <f t="shared" si="17"/>
        <v>445896</v>
      </c>
      <c r="I103" s="10">
        <f t="shared" si="17"/>
        <v>661</v>
      </c>
      <c r="J103" s="10">
        <f t="shared" si="17"/>
        <v>0</v>
      </c>
      <c r="K103" s="10">
        <f t="shared" si="17"/>
        <v>0</v>
      </c>
      <c r="L103" s="10">
        <f t="shared" si="17"/>
        <v>0</v>
      </c>
      <c r="M103" s="10">
        <f t="shared" si="17"/>
        <v>0</v>
      </c>
      <c r="N103" s="10">
        <f t="shared" si="13"/>
        <v>9800549</v>
      </c>
    </row>
    <row r="104" spans="1:14" hidden="1" x14ac:dyDescent="0.2">
      <c r="A104" s="3"/>
      <c r="B104" s="3"/>
      <c r="C104" s="3"/>
      <c r="D104" s="3"/>
      <c r="E104" s="3"/>
      <c r="F104" s="3"/>
      <c r="G104" s="3"/>
      <c r="H104" s="3"/>
      <c r="I104" s="3"/>
      <c r="J104" s="3"/>
      <c r="K104" s="3"/>
      <c r="L104" s="3"/>
      <c r="M104" s="3"/>
      <c r="N104" s="3"/>
    </row>
    <row r="107" spans="1:14" hidden="1" x14ac:dyDescent="0.2">
      <c r="I107" s="351"/>
    </row>
  </sheetData>
  <sheetProtection sheet="1" objects="1" scenarios="1" formatColumns="0" formatRows="0" selectLockedCells="1"/>
  <mergeCells count="4">
    <mergeCell ref="B5:C5"/>
    <mergeCell ref="B62:C62"/>
    <mergeCell ref="B77:C77"/>
    <mergeCell ref="B56:C56"/>
  </mergeCells>
  <dataValidations count="2">
    <dataValidation type="whole" operator="lessThanOrEqual" showInputMessage="1" showErrorMessage="1" errorTitle="Prudent Reserve Balance Exceeded" error="Combined transfers to CSS &amp; PEI cannot exceed total available Prudent Reserve (PR), (Unspent PR +Interest earned this Fiscal Year). Enter whole numbers only. " sqref="E30" xr:uid="{00000000-0002-0000-0300-000000000000}">
      <formula1>$M$28+$M$32-$D$30</formula1>
    </dataValidation>
    <dataValidation type="whole" operator="lessThanOrEqual" showInputMessage="1" showErrorMessage="1" errorTitle="Prudent Reserve Balance Exceeded" error="Combined transfers to CSS &amp; PEI cannot exceed total available Prudent Reserve (PR), (Unspent PR +Interest earned this Fiscal Year). Enter whole numbers only. " sqref="D30" xr:uid="{00000000-0002-0000-0300-000001000000}">
      <formula1>$M$28+$M$32-$E$30</formula1>
    </dataValidation>
  </dataValidations>
  <pageMargins left="0.25" right="0.25" top="1.1236458333333299" bottom="0.75" header="0.3" footer="0.3"/>
  <pageSetup paperSize="17" scale="50" fitToHeight="0" orientation="portrait" r:id="rId1"/>
  <headerFooter>
    <oddHeader xml:space="preserve">&amp;C&amp;"Arial,Bold"&amp;16Annual Mental Health Services Act Revenue and Expenditure Report for                  
Fiscal Year 2016-17     
Component Summary  
</oddHeader>
    <oddFooter>&amp;C&amp;"Arial,Regular"&amp;14Page &amp;P of &amp;N</oddFooter>
  </headerFooter>
  <ignoredErrors>
    <ignoredError sqref="M30" unlockedFormula="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autoPageBreaks="0" fitToPage="1"/>
  </sheetPr>
  <dimension ref="A1:Z84"/>
  <sheetViews>
    <sheetView showGridLines="0" zoomScale="60" zoomScaleNormal="60" zoomScaleSheetLayoutView="40" zoomScalePageLayoutView="70" workbookViewId="0">
      <selection activeCell="G14" sqref="G14"/>
    </sheetView>
  </sheetViews>
  <sheetFormatPr defaultColWidth="0" defaultRowHeight="15" zeroHeight="1" x14ac:dyDescent="0.2"/>
  <cols>
    <col min="1" max="1" width="2.7109375" style="216" customWidth="1"/>
    <col min="2" max="2" width="6.7109375" style="216" customWidth="1"/>
    <col min="3" max="3" width="13.5703125" style="216" customWidth="1"/>
    <col min="4" max="5" width="39.7109375" style="216" customWidth="1"/>
    <col min="6" max="6" width="20.7109375" style="216" customWidth="1"/>
    <col min="7" max="7" width="27.5703125" style="216" bestFit="1" customWidth="1"/>
    <col min="8" max="8" width="21.5703125" style="216" customWidth="1"/>
    <col min="9" max="9" width="25.85546875" style="216" bestFit="1" customWidth="1"/>
    <col min="10" max="10" width="22.7109375" style="216" customWidth="1"/>
    <col min="11" max="11" width="23" style="216" customWidth="1"/>
    <col min="12" max="12" width="21" style="216" customWidth="1"/>
    <col min="13" max="13" width="22.5703125" style="216" customWidth="1"/>
    <col min="14" max="14" width="21.5703125" style="216" customWidth="1"/>
    <col min="15" max="15" width="20.5703125" style="216" customWidth="1"/>
    <col min="16" max="22" width="15.140625" style="216" customWidth="1"/>
    <col min="23" max="24" width="17.7109375" style="216" hidden="1" customWidth="1"/>
    <col min="25" max="26" width="16" style="216" hidden="1" customWidth="1"/>
    <col min="27" max="16384" width="9.140625" style="216" hidden="1"/>
  </cols>
  <sheetData>
    <row r="1" spans="1:23" x14ac:dyDescent="0.2">
      <c r="A1" s="226"/>
      <c r="B1" s="406" t="s">
        <v>229</v>
      </c>
      <c r="C1" s="406"/>
      <c r="D1" s="406"/>
      <c r="E1" s="226"/>
      <c r="F1" s="226"/>
      <c r="G1" s="226"/>
      <c r="H1" s="226"/>
      <c r="I1" s="226"/>
      <c r="J1" s="226"/>
      <c r="K1" s="226"/>
      <c r="L1" s="226"/>
      <c r="M1" s="226"/>
      <c r="N1" s="226"/>
      <c r="O1" s="226"/>
      <c r="P1" s="226"/>
      <c r="Q1" s="226"/>
      <c r="R1" s="226"/>
      <c r="S1" s="226"/>
      <c r="T1" s="226"/>
      <c r="U1" s="226"/>
      <c r="V1" s="226"/>
      <c r="W1" s="226"/>
    </row>
    <row r="2" spans="1:23" x14ac:dyDescent="0.2">
      <c r="A2" s="226"/>
      <c r="B2" s="208"/>
      <c r="C2" s="208"/>
      <c r="D2" s="208"/>
      <c r="E2" s="226"/>
      <c r="F2" s="226"/>
      <c r="G2" s="226"/>
      <c r="H2" s="226"/>
      <c r="I2" s="226"/>
      <c r="J2" s="226"/>
      <c r="K2" s="226"/>
      <c r="L2" s="226"/>
      <c r="M2" s="226"/>
      <c r="N2" s="226"/>
      <c r="O2" s="226"/>
      <c r="P2" s="226"/>
      <c r="Q2" s="226"/>
      <c r="R2" s="226"/>
      <c r="S2" s="226"/>
      <c r="T2" s="226"/>
      <c r="U2" s="226"/>
      <c r="V2" s="226"/>
      <c r="W2" s="226"/>
    </row>
    <row r="3" spans="1:23" ht="18" x14ac:dyDescent="0.2">
      <c r="A3" s="226"/>
      <c r="B3" s="407" t="s">
        <v>263</v>
      </c>
      <c r="C3" s="407"/>
      <c r="D3" s="407"/>
      <c r="E3" s="407"/>
      <c r="F3" s="407"/>
      <c r="G3" s="407"/>
      <c r="H3" s="407"/>
      <c r="I3" s="407"/>
      <c r="J3" s="407"/>
      <c r="K3" s="407"/>
      <c r="L3" s="226"/>
      <c r="M3" s="226"/>
      <c r="N3" s="226"/>
      <c r="O3" s="226"/>
      <c r="P3" s="226"/>
      <c r="Q3" s="226"/>
      <c r="R3" s="226"/>
      <c r="S3" s="226"/>
      <c r="T3" s="226"/>
      <c r="U3" s="226"/>
      <c r="V3" s="226"/>
      <c r="W3" s="226"/>
    </row>
    <row r="4" spans="1:23" ht="18" x14ac:dyDescent="0.2">
      <c r="A4" s="226"/>
      <c r="B4" s="407" t="s">
        <v>0</v>
      </c>
      <c r="C4" s="407"/>
      <c r="D4" s="407"/>
      <c r="E4" s="407"/>
      <c r="F4" s="407"/>
      <c r="G4" s="407"/>
      <c r="H4" s="407"/>
      <c r="I4" s="407"/>
      <c r="J4" s="407"/>
      <c r="K4" s="407"/>
      <c r="L4" s="226"/>
      <c r="M4" s="226"/>
      <c r="N4" s="226"/>
      <c r="O4" s="226"/>
      <c r="P4" s="226"/>
      <c r="Q4" s="226"/>
      <c r="R4" s="226"/>
      <c r="S4" s="226"/>
      <c r="T4" s="226"/>
      <c r="U4" s="226"/>
      <c r="V4" s="226"/>
      <c r="W4" s="226"/>
    </row>
    <row r="5" spans="1:23" ht="18" x14ac:dyDescent="0.2">
      <c r="A5" s="226"/>
      <c r="B5" s="407" t="s">
        <v>114</v>
      </c>
      <c r="C5" s="407"/>
      <c r="D5" s="407"/>
      <c r="E5" s="407"/>
      <c r="F5" s="407"/>
      <c r="G5" s="407"/>
      <c r="H5" s="407"/>
      <c r="I5" s="407"/>
      <c r="J5" s="407"/>
      <c r="K5" s="407"/>
      <c r="L5" s="226"/>
      <c r="M5" s="226"/>
      <c r="N5" s="226"/>
      <c r="O5" s="226"/>
      <c r="P5" s="226"/>
      <c r="Q5" s="226"/>
      <c r="R5" s="226"/>
      <c r="S5" s="226"/>
      <c r="T5" s="226"/>
      <c r="U5" s="226"/>
      <c r="V5" s="226"/>
      <c r="W5" s="226"/>
    </row>
    <row r="6" spans="1:23" ht="15.75" x14ac:dyDescent="0.2">
      <c r="A6" s="226"/>
      <c r="B6" s="166"/>
      <c r="C6" s="166"/>
      <c r="D6" s="166"/>
      <c r="E6" s="166"/>
      <c r="F6" s="166"/>
      <c r="G6" s="166"/>
      <c r="H6" s="166"/>
      <c r="I6" s="166"/>
      <c r="J6" s="166"/>
      <c r="K6" s="166"/>
      <c r="L6" s="226"/>
      <c r="M6" s="226"/>
      <c r="N6" s="226"/>
      <c r="O6" s="226"/>
      <c r="P6" s="226"/>
      <c r="Q6" s="226"/>
      <c r="R6" s="226"/>
      <c r="S6" s="226"/>
      <c r="T6" s="226"/>
      <c r="U6" s="226"/>
      <c r="V6" s="226"/>
      <c r="W6" s="226"/>
    </row>
    <row r="7" spans="1:23" ht="15.75" x14ac:dyDescent="0.25">
      <c r="A7" s="226"/>
      <c r="B7" s="397" t="s">
        <v>2</v>
      </c>
      <c r="C7" s="397"/>
      <c r="D7" s="54" t="str">
        <f>IF(ISBLANK('1. Information'!D6),"",'1. Information'!D6)</f>
        <v>Shasta</v>
      </c>
      <c r="E7" s="226"/>
      <c r="F7" s="204" t="s">
        <v>3</v>
      </c>
      <c r="G7" s="227">
        <f ca="1">IF(ISBLANK('1. Information'!D5),"",'1. Information'!D5)</f>
        <v>44144.476150462964</v>
      </c>
      <c r="H7" s="226"/>
      <c r="I7" s="226"/>
      <c r="J7" s="226"/>
      <c r="K7" s="228"/>
      <c r="L7" s="228"/>
      <c r="M7" s="226"/>
      <c r="N7" s="226"/>
      <c r="O7" s="226"/>
      <c r="P7" s="226"/>
      <c r="Q7" s="226"/>
      <c r="R7" s="226"/>
      <c r="S7" s="226"/>
      <c r="T7" s="226"/>
      <c r="U7" s="226"/>
      <c r="V7" s="226"/>
      <c r="W7" s="226"/>
    </row>
    <row r="8" spans="1:23" ht="15.75" x14ac:dyDescent="0.25">
      <c r="A8" s="226"/>
      <c r="B8" s="226"/>
      <c r="C8" s="15"/>
      <c r="D8" s="15"/>
      <c r="E8" s="15"/>
      <c r="F8" s="226"/>
      <c r="G8" s="7"/>
      <c r="H8" s="229"/>
      <c r="I8" s="226"/>
      <c r="J8" s="226"/>
      <c r="K8" s="226"/>
      <c r="L8" s="228"/>
      <c r="M8" s="228"/>
      <c r="N8" s="226"/>
      <c r="O8" s="226"/>
      <c r="P8" s="226"/>
      <c r="Q8" s="226"/>
      <c r="R8" s="226"/>
      <c r="S8" s="226"/>
      <c r="T8" s="226"/>
      <c r="U8" s="226"/>
      <c r="V8" s="226"/>
      <c r="W8" s="226"/>
    </row>
    <row r="9" spans="1:23" ht="18.75" thickBot="1" x14ac:dyDescent="0.3">
      <c r="A9" s="226"/>
      <c r="B9" s="341" t="s">
        <v>280</v>
      </c>
      <c r="C9" s="105"/>
      <c r="D9" s="105"/>
      <c r="E9" s="105"/>
      <c r="F9" s="230"/>
      <c r="G9" s="140"/>
      <c r="H9" s="231"/>
      <c r="I9" s="230"/>
      <c r="J9" s="230"/>
      <c r="K9" s="230"/>
      <c r="L9" s="232"/>
      <c r="M9" s="232"/>
      <c r="N9" s="230"/>
      <c r="O9" s="230"/>
      <c r="P9" s="230"/>
      <c r="Q9" s="230"/>
      <c r="R9" s="230"/>
      <c r="S9" s="230"/>
      <c r="T9" s="230"/>
      <c r="U9" s="230"/>
      <c r="W9" s="226"/>
    </row>
    <row r="10" spans="1:23" ht="16.5" thickTop="1" x14ac:dyDescent="0.25">
      <c r="A10" s="226"/>
      <c r="B10" s="271"/>
      <c r="C10" s="15"/>
      <c r="D10" s="15"/>
      <c r="E10" s="15"/>
      <c r="F10" s="226"/>
      <c r="G10" s="7"/>
      <c r="H10" s="229"/>
      <c r="I10" s="226"/>
      <c r="J10" s="226"/>
      <c r="K10" s="226"/>
      <c r="L10" s="228"/>
      <c r="M10" s="228"/>
      <c r="N10" s="226"/>
      <c r="O10" s="226"/>
      <c r="P10" s="226"/>
      <c r="Q10" s="226"/>
      <c r="R10" s="226"/>
      <c r="S10" s="226"/>
      <c r="T10" s="226"/>
      <c r="U10" s="226"/>
      <c r="V10" s="226"/>
      <c r="W10" s="226"/>
    </row>
    <row r="11" spans="1:23" ht="15.75" customHeight="1" x14ac:dyDescent="0.2">
      <c r="A11" s="226"/>
      <c r="F11" s="233" t="s">
        <v>59</v>
      </c>
      <c r="G11" s="141" t="s">
        <v>61</v>
      </c>
      <c r="H11" s="234" t="s">
        <v>65</v>
      </c>
      <c r="I11" s="218" t="s">
        <v>245</v>
      </c>
      <c r="J11" s="233" t="s">
        <v>246</v>
      </c>
      <c r="K11" s="235" t="s">
        <v>247</v>
      </c>
      <c r="L11" s="236" t="s">
        <v>256</v>
      </c>
      <c r="M11" s="236" t="s">
        <v>248</v>
      </c>
      <c r="N11" s="237" t="s">
        <v>249</v>
      </c>
      <c r="O11" s="237" t="s">
        <v>250</v>
      </c>
      <c r="P11" s="237" t="s">
        <v>251</v>
      </c>
      <c r="Q11" s="237" t="s">
        <v>252</v>
      </c>
      <c r="R11" s="237" t="s">
        <v>253</v>
      </c>
      <c r="S11" s="237" t="s">
        <v>254</v>
      </c>
      <c r="T11" s="237" t="s">
        <v>255</v>
      </c>
      <c r="U11" s="237" t="s">
        <v>257</v>
      </c>
      <c r="V11" s="226"/>
      <c r="W11" s="226"/>
    </row>
    <row r="12" spans="1:23" ht="15.75" x14ac:dyDescent="0.25">
      <c r="A12" s="226"/>
      <c r="F12" s="238"/>
      <c r="G12" s="402" t="s">
        <v>62</v>
      </c>
      <c r="H12" s="397"/>
      <c r="I12" s="397"/>
      <c r="J12" s="403"/>
      <c r="K12" s="402" t="s">
        <v>60</v>
      </c>
      <c r="L12" s="397"/>
      <c r="M12" s="397"/>
      <c r="N12" s="397"/>
      <c r="O12" s="397"/>
      <c r="P12" s="397"/>
      <c r="Q12" s="397"/>
      <c r="R12" s="397"/>
      <c r="S12" s="397"/>
      <c r="T12" s="397"/>
      <c r="U12" s="397"/>
      <c r="V12" s="74"/>
      <c r="W12" s="74"/>
    </row>
    <row r="13" spans="1:23" ht="47.25" x14ac:dyDescent="0.2">
      <c r="A13" s="226"/>
      <c r="B13" s="104"/>
      <c r="F13" s="142" t="s">
        <v>192</v>
      </c>
      <c r="G13" s="112" t="s">
        <v>7</v>
      </c>
      <c r="H13" s="75" t="s">
        <v>8</v>
      </c>
      <c r="I13" s="75" t="s">
        <v>63</v>
      </c>
      <c r="J13" s="118" t="s">
        <v>10</v>
      </c>
      <c r="K13" s="127" t="s">
        <v>191</v>
      </c>
      <c r="L13" s="75" t="s">
        <v>190</v>
      </c>
      <c r="M13" s="79" t="s">
        <v>119</v>
      </c>
      <c r="N13" s="79" t="s">
        <v>120</v>
      </c>
      <c r="O13" s="80" t="s">
        <v>121</v>
      </c>
      <c r="P13" s="143" t="s">
        <v>122</v>
      </c>
      <c r="Q13" s="143" t="s">
        <v>123</v>
      </c>
      <c r="R13" s="144" t="s">
        <v>124</v>
      </c>
      <c r="S13" s="144" t="s">
        <v>125</v>
      </c>
      <c r="T13" s="144" t="s">
        <v>126</v>
      </c>
      <c r="U13" s="144" t="s">
        <v>127</v>
      </c>
      <c r="V13" s="226"/>
      <c r="W13" s="226"/>
    </row>
    <row r="14" spans="1:23" ht="15.75" x14ac:dyDescent="0.25">
      <c r="A14" s="226"/>
      <c r="B14" s="218">
        <v>1</v>
      </c>
      <c r="C14" s="400" t="s">
        <v>16</v>
      </c>
      <c r="D14" s="400"/>
      <c r="E14" s="400"/>
      <c r="F14" s="239">
        <f t="shared" ref="F14:F23" si="0">SUM($G14:$J14,$K14)</f>
        <v>0</v>
      </c>
      <c r="G14" s="162"/>
      <c r="H14" s="240"/>
      <c r="I14" s="241"/>
      <c r="J14" s="242"/>
      <c r="K14" s="243">
        <f>SUM($M14:$U14, $L14)</f>
        <v>0</v>
      </c>
      <c r="L14" s="241"/>
      <c r="M14" s="244"/>
      <c r="N14" s="244"/>
      <c r="O14" s="244"/>
      <c r="P14" s="245"/>
      <c r="Q14" s="246"/>
      <c r="R14" s="246"/>
      <c r="S14" s="246"/>
      <c r="T14" s="246"/>
      <c r="U14" s="246"/>
      <c r="V14" s="226"/>
      <c r="W14" s="226"/>
    </row>
    <row r="15" spans="1:23" ht="15" customHeight="1" x14ac:dyDescent="0.25">
      <c r="A15" s="226"/>
      <c r="B15" s="218">
        <v>2</v>
      </c>
      <c r="C15" s="400" t="s">
        <v>17</v>
      </c>
      <c r="D15" s="400"/>
      <c r="E15" s="400"/>
      <c r="F15" s="239">
        <f t="shared" si="0"/>
        <v>0</v>
      </c>
      <c r="G15" s="247"/>
      <c r="H15" s="241"/>
      <c r="I15" s="241"/>
      <c r="J15" s="242"/>
      <c r="K15" s="243">
        <f t="shared" ref="K15:K23" si="1">SUM($M15:$U15, $L15)</f>
        <v>0</v>
      </c>
      <c r="L15" s="241"/>
      <c r="M15" s="244"/>
      <c r="N15" s="244"/>
      <c r="O15" s="244"/>
      <c r="P15" s="245"/>
      <c r="Q15" s="246"/>
      <c r="R15" s="246"/>
      <c r="S15" s="246"/>
      <c r="T15" s="246"/>
      <c r="U15" s="246"/>
      <c r="V15" s="226"/>
      <c r="W15" s="226"/>
    </row>
    <row r="16" spans="1:23" ht="15.75" x14ac:dyDescent="0.25">
      <c r="A16" s="226"/>
      <c r="B16" s="218">
        <v>3</v>
      </c>
      <c r="C16" s="400" t="s">
        <v>102</v>
      </c>
      <c r="D16" s="400"/>
      <c r="E16" s="400"/>
      <c r="F16" s="239">
        <f t="shared" si="0"/>
        <v>1260021</v>
      </c>
      <c r="G16" s="247">
        <v>130120</v>
      </c>
      <c r="H16" s="241"/>
      <c r="I16" s="241"/>
      <c r="J16" s="242"/>
      <c r="K16" s="243">
        <f t="shared" si="1"/>
        <v>1129901</v>
      </c>
      <c r="L16" s="241">
        <v>4624</v>
      </c>
      <c r="M16" s="244">
        <v>500237</v>
      </c>
      <c r="N16" s="244">
        <v>625040</v>
      </c>
      <c r="O16" s="244"/>
      <c r="P16" s="245"/>
      <c r="Q16" s="246"/>
      <c r="R16" s="246"/>
      <c r="S16" s="246"/>
      <c r="T16" s="246"/>
      <c r="U16" s="246"/>
      <c r="V16" s="226"/>
      <c r="W16" s="226"/>
    </row>
    <row r="17" spans="1:23" ht="15.75" x14ac:dyDescent="0.25">
      <c r="A17" s="226"/>
      <c r="B17" s="218">
        <v>4</v>
      </c>
      <c r="C17" s="404" t="s">
        <v>209</v>
      </c>
      <c r="D17" s="404"/>
      <c r="E17" s="404"/>
      <c r="F17" s="239">
        <f t="shared" si="0"/>
        <v>0</v>
      </c>
      <c r="G17" s="247"/>
      <c r="H17" s="241"/>
      <c r="I17" s="241"/>
      <c r="J17" s="242"/>
      <c r="K17" s="243">
        <f t="shared" si="1"/>
        <v>0</v>
      </c>
      <c r="L17" s="241"/>
      <c r="M17" s="244"/>
      <c r="N17" s="244"/>
      <c r="O17" s="244"/>
      <c r="P17" s="245"/>
      <c r="Q17" s="246"/>
      <c r="R17" s="246"/>
      <c r="S17" s="246"/>
      <c r="T17" s="246"/>
      <c r="U17" s="246"/>
      <c r="V17" s="226"/>
      <c r="W17" s="226"/>
    </row>
    <row r="18" spans="1:23" ht="15.75" x14ac:dyDescent="0.25">
      <c r="A18" s="226"/>
      <c r="B18" s="218">
        <v>5</v>
      </c>
      <c r="C18" s="404" t="s">
        <v>210</v>
      </c>
      <c r="D18" s="404"/>
      <c r="E18" s="404"/>
      <c r="F18" s="239">
        <f t="shared" si="0"/>
        <v>0</v>
      </c>
      <c r="G18" s="247"/>
      <c r="H18" s="335"/>
      <c r="I18" s="241"/>
      <c r="J18" s="242"/>
      <c r="K18" s="243">
        <f>SUM($M18:$U18, $L18)</f>
        <v>0</v>
      </c>
      <c r="L18" s="241"/>
      <c r="M18" s="244"/>
      <c r="N18" s="244"/>
      <c r="O18" s="244"/>
      <c r="P18" s="245"/>
      <c r="Q18" s="246"/>
      <c r="R18" s="246"/>
      <c r="S18" s="246"/>
      <c r="T18" s="246"/>
      <c r="U18" s="246"/>
      <c r="V18" s="226"/>
      <c r="W18" s="226"/>
    </row>
    <row r="19" spans="1:23" ht="15.75" x14ac:dyDescent="0.25">
      <c r="A19" s="226"/>
      <c r="B19" s="218">
        <v>6</v>
      </c>
      <c r="C19" s="400" t="s">
        <v>205</v>
      </c>
      <c r="D19" s="400"/>
      <c r="E19" s="400"/>
      <c r="F19" s="239">
        <f t="shared" si="0"/>
        <v>0</v>
      </c>
      <c r="G19" s="248"/>
      <c r="H19" s="249"/>
      <c r="I19" s="249"/>
      <c r="J19" s="250"/>
      <c r="K19" s="243">
        <f>SUM($M19:$U19, $L19)</f>
        <v>0</v>
      </c>
      <c r="L19" s="241"/>
      <c r="M19" s="244"/>
      <c r="N19" s="244"/>
      <c r="O19" s="244"/>
      <c r="P19" s="245"/>
      <c r="Q19" s="246"/>
      <c r="R19" s="246"/>
      <c r="S19" s="246"/>
      <c r="T19" s="246"/>
      <c r="U19" s="246"/>
      <c r="V19" s="226"/>
      <c r="W19" s="226"/>
    </row>
    <row r="20" spans="1:23" ht="15.75" x14ac:dyDescent="0.25">
      <c r="A20" s="228"/>
      <c r="B20" s="251">
        <v>7</v>
      </c>
      <c r="C20" s="413" t="s">
        <v>219</v>
      </c>
      <c r="D20" s="414"/>
      <c r="E20" s="415"/>
      <c r="F20" s="239">
        <f t="shared" si="0"/>
        <v>0</v>
      </c>
      <c r="G20" s="245"/>
      <c r="H20" s="246"/>
      <c r="I20" s="246"/>
      <c r="J20" s="239"/>
      <c r="K20" s="245">
        <f>SUM($M20:$U20, $L20)</f>
        <v>0</v>
      </c>
      <c r="L20" s="241"/>
      <c r="M20" s="241"/>
      <c r="N20" s="241"/>
      <c r="O20" s="241"/>
      <c r="P20" s="245"/>
      <c r="Q20" s="246"/>
      <c r="R20" s="246"/>
      <c r="S20" s="246"/>
      <c r="T20" s="246"/>
      <c r="U20" s="246"/>
      <c r="V20" s="228"/>
      <c r="W20" s="228"/>
    </row>
    <row r="21" spans="1:23" ht="15.75" x14ac:dyDescent="0.25">
      <c r="A21" s="228"/>
      <c r="B21" s="251">
        <v>8</v>
      </c>
      <c r="C21" s="413" t="s">
        <v>220</v>
      </c>
      <c r="D21" s="414"/>
      <c r="E21" s="415"/>
      <c r="F21" s="239">
        <f t="shared" si="0"/>
        <v>0</v>
      </c>
      <c r="G21" s="245"/>
      <c r="H21" s="246"/>
      <c r="I21" s="246"/>
      <c r="J21" s="239"/>
      <c r="K21" s="245">
        <f>SUM($M21:$U21, $L21)</f>
        <v>0</v>
      </c>
      <c r="L21" s="241"/>
      <c r="M21" s="241"/>
      <c r="N21" s="241"/>
      <c r="O21" s="241"/>
      <c r="P21" s="245"/>
      <c r="Q21" s="246"/>
      <c r="R21" s="246"/>
      <c r="S21" s="246"/>
      <c r="T21" s="246"/>
      <c r="U21" s="246"/>
      <c r="V21" s="228"/>
      <c r="W21" s="228"/>
    </row>
    <row r="22" spans="1:23" ht="15.75" x14ac:dyDescent="0.25">
      <c r="A22" s="228"/>
      <c r="B22" s="251">
        <v>9</v>
      </c>
      <c r="C22" s="413" t="s">
        <v>218</v>
      </c>
      <c r="D22" s="414"/>
      <c r="E22" s="415"/>
      <c r="F22" s="239">
        <f t="shared" si="0"/>
        <v>0</v>
      </c>
      <c r="G22" s="245"/>
      <c r="H22" s="246"/>
      <c r="I22" s="246"/>
      <c r="J22" s="239"/>
      <c r="K22" s="245">
        <f>SUM($M22:$U22, $L22)</f>
        <v>0</v>
      </c>
      <c r="L22" s="241"/>
      <c r="M22" s="241"/>
      <c r="N22" s="241"/>
      <c r="O22" s="241"/>
      <c r="P22" s="245"/>
      <c r="Q22" s="246"/>
      <c r="R22" s="246"/>
      <c r="S22" s="246"/>
      <c r="T22" s="246"/>
      <c r="U22" s="246"/>
      <c r="V22" s="228"/>
      <c r="W22" s="228"/>
    </row>
    <row r="23" spans="1:23" ht="15.75" x14ac:dyDescent="0.25">
      <c r="A23" s="226"/>
      <c r="B23" s="218">
        <v>10</v>
      </c>
      <c r="C23" s="400" t="s">
        <v>128</v>
      </c>
      <c r="D23" s="400"/>
      <c r="E23" s="400"/>
      <c r="F23" s="239">
        <f t="shared" si="0"/>
        <v>7475311</v>
      </c>
      <c r="G23" s="245">
        <f>SUM($H39:$H83)</f>
        <v>719769</v>
      </c>
      <c r="H23" s="246">
        <f>SUM($I39:$I83)</f>
        <v>0</v>
      </c>
      <c r="I23" s="246">
        <f>SUM($J39:$J83)</f>
        <v>0</v>
      </c>
      <c r="J23" s="239">
        <f>SUM(K39:K83)</f>
        <v>1162325</v>
      </c>
      <c r="K23" s="245">
        <f t="shared" si="1"/>
        <v>5593217</v>
      </c>
      <c r="L23" s="246">
        <f>SUM($M39:$M83)</f>
        <v>27433</v>
      </c>
      <c r="M23" s="249">
        <f>SUM(N39:N83)</f>
        <v>2108319</v>
      </c>
      <c r="N23" s="249">
        <f>SUM(O39:O83)</f>
        <v>3457465</v>
      </c>
      <c r="O23" s="249">
        <f>SUM(P39:P83)</f>
        <v>0</v>
      </c>
      <c r="P23" s="246">
        <f t="shared" ref="P23:U23" si="2">SUM(Q39:Q83)</f>
        <v>0</v>
      </c>
      <c r="Q23" s="246">
        <f t="shared" si="2"/>
        <v>0</v>
      </c>
      <c r="R23" s="246">
        <f t="shared" si="2"/>
        <v>0</v>
      </c>
      <c r="S23" s="246">
        <f t="shared" si="2"/>
        <v>0</v>
      </c>
      <c r="T23" s="246">
        <f t="shared" si="2"/>
        <v>0</v>
      </c>
      <c r="U23" s="246">
        <f t="shared" si="2"/>
        <v>0</v>
      </c>
      <c r="V23" s="226"/>
      <c r="W23" s="226"/>
    </row>
    <row r="24" spans="1:23" ht="30.95" customHeight="1" x14ac:dyDescent="0.25">
      <c r="A24" s="226"/>
      <c r="B24" s="218">
        <v>11</v>
      </c>
      <c r="C24" s="405" t="s">
        <v>214</v>
      </c>
      <c r="D24" s="405"/>
      <c r="E24" s="405"/>
      <c r="F24" s="239">
        <f>SUM(F14:F16,F18:F23)</f>
        <v>8735332</v>
      </c>
      <c r="G24" s="107">
        <f t="shared" ref="G24:U24" si="3">SUM(G14:G16,G18:G23)</f>
        <v>849889</v>
      </c>
      <c r="H24" s="51">
        <f t="shared" si="3"/>
        <v>0</v>
      </c>
      <c r="I24" s="51">
        <f t="shared" si="3"/>
        <v>0</v>
      </c>
      <c r="J24" s="109">
        <f t="shared" si="3"/>
        <v>1162325</v>
      </c>
      <c r="K24" s="108">
        <f t="shared" si="3"/>
        <v>6723118</v>
      </c>
      <c r="L24" s="51">
        <f t="shared" si="3"/>
        <v>32057</v>
      </c>
      <c r="M24" s="51">
        <f t="shared" si="3"/>
        <v>2608556</v>
      </c>
      <c r="N24" s="51">
        <f t="shared" si="3"/>
        <v>4082505</v>
      </c>
      <c r="O24" s="51">
        <f t="shared" si="3"/>
        <v>0</v>
      </c>
      <c r="P24" s="51">
        <f t="shared" si="3"/>
        <v>0</v>
      </c>
      <c r="Q24" s="51">
        <f t="shared" si="3"/>
        <v>0</v>
      </c>
      <c r="R24" s="51">
        <f t="shared" si="3"/>
        <v>0</v>
      </c>
      <c r="S24" s="51">
        <f t="shared" si="3"/>
        <v>0</v>
      </c>
      <c r="T24" s="51">
        <f t="shared" si="3"/>
        <v>0</v>
      </c>
      <c r="U24" s="51">
        <f t="shared" si="3"/>
        <v>0</v>
      </c>
      <c r="V24" s="226"/>
      <c r="W24" s="226"/>
    </row>
    <row r="25" spans="1:23" ht="30.95" customHeight="1" x14ac:dyDescent="0.25">
      <c r="A25" s="226"/>
      <c r="B25" s="218">
        <v>12</v>
      </c>
      <c r="C25" s="401" t="s">
        <v>193</v>
      </c>
      <c r="D25" s="401"/>
      <c r="E25" s="401"/>
      <c r="F25" s="239"/>
      <c r="G25" s="107"/>
      <c r="H25" s="51"/>
      <c r="I25" s="51"/>
      <c r="J25" s="109"/>
      <c r="K25" s="108">
        <f>SUM(L25,M25:U25)</f>
        <v>10790514</v>
      </c>
      <c r="L25" s="51">
        <f>'2. Component Summary'!D27+'2. Component Summary'!D32</f>
        <v>49651</v>
      </c>
      <c r="M25" s="51">
        <f>'2. Component Summary'!D30+'2. Component Summary'!D31</f>
        <v>6658358</v>
      </c>
      <c r="N25" s="51">
        <f>'2. Component Summary'!D26</f>
        <v>4082505</v>
      </c>
      <c r="O25" s="51">
        <f>'2. Component Summary'!D25</f>
        <v>0</v>
      </c>
      <c r="P25" s="51">
        <f>'2. Component Summary'!D24</f>
        <v>0</v>
      </c>
      <c r="Q25" s="51">
        <f>'2. Component Summary'!D23</f>
        <v>0</v>
      </c>
      <c r="R25" s="51">
        <f>'2. Component Summary'!D22</f>
        <v>0</v>
      </c>
      <c r="S25" s="51">
        <f>'2. Component Summary'!D21</f>
        <v>0</v>
      </c>
      <c r="T25" s="51">
        <f>'2. Component Summary'!D20</f>
        <v>0</v>
      </c>
      <c r="U25" s="51">
        <f>'2. Component Summary'!D19</f>
        <v>0</v>
      </c>
      <c r="V25" s="226"/>
      <c r="W25" s="226"/>
    </row>
    <row r="26" spans="1:23" ht="15.75" x14ac:dyDescent="0.25">
      <c r="A26" s="226"/>
      <c r="B26" s="226"/>
      <c r="C26" s="226"/>
      <c r="D26" s="7"/>
      <c r="E26" s="7"/>
      <c r="F26" s="145"/>
      <c r="G26" s="228"/>
      <c r="H26" s="228"/>
      <c r="I26" s="228"/>
      <c r="J26" s="228"/>
      <c r="K26" s="228"/>
      <c r="L26" s="226"/>
      <c r="M26" s="226"/>
      <c r="N26" s="226"/>
      <c r="O26" s="226"/>
      <c r="P26" s="226"/>
      <c r="Q26" s="226"/>
      <c r="R26" s="226"/>
      <c r="S26" s="226"/>
      <c r="T26" s="226"/>
      <c r="U26" s="226"/>
      <c r="V26" s="226"/>
      <c r="W26" s="226"/>
    </row>
    <row r="27" spans="1:23" ht="18.75" thickBot="1" x14ac:dyDescent="0.3">
      <c r="A27" s="226"/>
      <c r="B27" s="342" t="s">
        <v>281</v>
      </c>
      <c r="C27" s="146"/>
      <c r="D27" s="140"/>
      <c r="E27" s="140"/>
      <c r="F27" s="147"/>
      <c r="G27" s="232"/>
      <c r="H27" s="232"/>
      <c r="I27" s="232"/>
      <c r="J27" s="232"/>
      <c r="K27" s="232"/>
      <c r="L27" s="230"/>
      <c r="M27" s="230"/>
      <c r="N27" s="230"/>
      <c r="O27" s="230"/>
      <c r="P27" s="230"/>
      <c r="Q27" s="230"/>
      <c r="R27" s="230"/>
      <c r="S27" s="230"/>
      <c r="T27" s="230"/>
      <c r="U27" s="230"/>
      <c r="W27" s="226"/>
    </row>
    <row r="28" spans="1:23" ht="16.5" thickTop="1" x14ac:dyDescent="0.25">
      <c r="A28" s="226"/>
      <c r="B28" s="272"/>
      <c r="C28" s="148"/>
      <c r="D28" s="7"/>
      <c r="E28" s="7"/>
      <c r="F28" s="145"/>
      <c r="G28" s="228"/>
      <c r="H28" s="228"/>
      <c r="I28" s="228"/>
      <c r="J28" s="228"/>
      <c r="K28" s="228"/>
      <c r="L28" s="226"/>
      <c r="M28" s="226"/>
      <c r="N28" s="226"/>
      <c r="O28" s="226"/>
      <c r="P28" s="226"/>
      <c r="Q28" s="226"/>
      <c r="R28" s="226"/>
      <c r="S28" s="226"/>
      <c r="T28" s="226"/>
      <c r="U28" s="226"/>
      <c r="V28" s="226"/>
      <c r="W28" s="226"/>
    </row>
    <row r="29" spans="1:23" ht="15.75" x14ac:dyDescent="0.25">
      <c r="A29" s="226"/>
      <c r="B29" s="148"/>
      <c r="C29" s="148"/>
      <c r="D29" s="7"/>
      <c r="E29" s="7"/>
      <c r="F29" s="149" t="s">
        <v>59</v>
      </c>
      <c r="G29" s="236" t="s">
        <v>61</v>
      </c>
      <c r="H29" s="228"/>
      <c r="I29" s="228"/>
      <c r="J29" s="228"/>
      <c r="K29" s="228"/>
      <c r="L29" s="226"/>
      <c r="M29" s="226"/>
      <c r="N29" s="226"/>
      <c r="O29" s="226"/>
      <c r="P29" s="226"/>
      <c r="Q29" s="226"/>
      <c r="R29" s="226"/>
      <c r="S29" s="226"/>
      <c r="T29" s="226"/>
      <c r="U29" s="226"/>
      <c r="V29" s="226"/>
      <c r="W29" s="226"/>
    </row>
    <row r="30" spans="1:23" ht="15.75" x14ac:dyDescent="0.25">
      <c r="A30" s="226"/>
      <c r="B30" s="218">
        <v>1</v>
      </c>
      <c r="C30" s="416" t="s">
        <v>189</v>
      </c>
      <c r="D30" s="416"/>
      <c r="E30" s="417"/>
      <c r="F30" s="253">
        <f>SUMIF($F$39:$F$83,"FSP",$L$39:$L$83)</f>
        <v>5486149</v>
      </c>
      <c r="G30" s="150" t="s">
        <v>239</v>
      </c>
      <c r="H30" s="228"/>
      <c r="I30" s="228"/>
      <c r="J30" s="228"/>
      <c r="K30" s="228"/>
      <c r="L30" s="226"/>
      <c r="M30" s="226"/>
      <c r="N30" s="226"/>
      <c r="O30" s="226"/>
      <c r="P30" s="226"/>
      <c r="Q30" s="226"/>
      <c r="R30" s="226"/>
      <c r="S30" s="226"/>
      <c r="T30" s="226"/>
      <c r="U30" s="226"/>
      <c r="V30" s="226"/>
      <c r="W30" s="226"/>
    </row>
    <row r="31" spans="1:23" ht="30.75" customHeight="1" x14ac:dyDescent="0.25">
      <c r="A31" s="226"/>
      <c r="B31" s="218">
        <v>2</v>
      </c>
      <c r="C31" s="418" t="s">
        <v>317</v>
      </c>
      <c r="D31" s="418"/>
      <c r="E31" s="419"/>
      <c r="F31" s="253">
        <f>SUM(K14:K16,K18,K23)</f>
        <v>6723118</v>
      </c>
      <c r="G31" s="150" t="s">
        <v>238</v>
      </c>
      <c r="H31" s="228"/>
      <c r="I31" s="336"/>
      <c r="J31" s="228"/>
      <c r="K31" s="228"/>
      <c r="L31" s="226"/>
      <c r="M31" s="226"/>
      <c r="N31" s="226"/>
      <c r="O31" s="226"/>
      <c r="P31" s="226"/>
      <c r="Q31" s="226"/>
      <c r="R31" s="226"/>
      <c r="S31" s="226"/>
      <c r="T31" s="226"/>
      <c r="U31" s="226"/>
      <c r="V31" s="226"/>
      <c r="W31" s="226"/>
    </row>
    <row r="32" spans="1:23" ht="15.75" x14ac:dyDescent="0.25">
      <c r="A32" s="226"/>
      <c r="B32" s="218">
        <v>3</v>
      </c>
      <c r="C32" s="420" t="s">
        <v>113</v>
      </c>
      <c r="D32" s="420"/>
      <c r="E32" s="421"/>
      <c r="F32" s="254">
        <f>IF($K$24=0,"-",(F30)/(F31))</f>
        <v>0.81601260010608179</v>
      </c>
      <c r="G32" s="151" t="s">
        <v>258</v>
      </c>
      <c r="H32" s="339"/>
      <c r="I32" s="336"/>
      <c r="J32" s="228"/>
      <c r="K32" s="228"/>
      <c r="L32" s="226"/>
      <c r="M32" s="226"/>
      <c r="N32" s="226"/>
      <c r="O32" s="226"/>
      <c r="P32" s="226"/>
      <c r="Q32" s="226"/>
      <c r="R32" s="226"/>
      <c r="S32" s="226"/>
      <c r="T32" s="226"/>
      <c r="U32" s="226"/>
      <c r="V32" s="226"/>
      <c r="W32" s="226"/>
    </row>
    <row r="33" spans="1:23" ht="15.75" x14ac:dyDescent="0.25">
      <c r="A33" s="226"/>
      <c r="B33" s="226"/>
      <c r="C33" s="148"/>
      <c r="D33" s="7"/>
      <c r="E33" s="7"/>
      <c r="F33" s="152"/>
      <c r="G33" s="228"/>
      <c r="H33" s="228"/>
      <c r="I33" s="336"/>
      <c r="J33" s="228"/>
      <c r="K33" s="228"/>
      <c r="L33" s="226"/>
      <c r="M33" s="226"/>
      <c r="N33" s="226"/>
      <c r="O33" s="226"/>
      <c r="P33" s="226"/>
      <c r="Q33" s="226"/>
      <c r="R33" s="226"/>
      <c r="S33" s="226"/>
      <c r="T33" s="226"/>
      <c r="U33" s="226"/>
      <c r="V33" s="226"/>
      <c r="W33" s="226"/>
    </row>
    <row r="34" spans="1:23" ht="18.75" thickBot="1" x14ac:dyDescent="0.3">
      <c r="A34" s="226"/>
      <c r="B34" s="342" t="s">
        <v>282</v>
      </c>
      <c r="C34" s="146"/>
      <c r="D34" s="140"/>
      <c r="E34" s="140"/>
      <c r="F34" s="153"/>
      <c r="G34" s="232"/>
      <c r="H34" s="232"/>
      <c r="I34" s="232"/>
      <c r="J34" s="232"/>
      <c r="K34" s="232"/>
      <c r="L34" s="230"/>
      <c r="M34" s="230"/>
      <c r="N34" s="230"/>
      <c r="O34" s="230"/>
      <c r="P34" s="230"/>
      <c r="Q34" s="230"/>
      <c r="R34" s="230"/>
      <c r="S34" s="230"/>
      <c r="T34" s="230"/>
      <c r="U34" s="230"/>
      <c r="V34" s="230"/>
      <c r="W34" s="226"/>
    </row>
    <row r="35" spans="1:23" ht="16.5" thickTop="1" x14ac:dyDescent="0.25">
      <c r="A35" s="226"/>
      <c r="B35" s="272"/>
      <c r="C35" s="148"/>
      <c r="D35" s="7"/>
      <c r="E35" s="7"/>
      <c r="F35" s="152"/>
      <c r="G35" s="228"/>
      <c r="H35" s="228"/>
      <c r="I35" s="228"/>
      <c r="J35" s="228"/>
      <c r="K35" s="228"/>
      <c r="L35" s="226"/>
      <c r="M35" s="226"/>
      <c r="N35" s="226"/>
      <c r="O35" s="226"/>
      <c r="P35" s="226"/>
      <c r="Q35" s="226"/>
      <c r="R35" s="226"/>
      <c r="S35" s="226"/>
      <c r="T35" s="226"/>
      <c r="U35" s="226"/>
      <c r="V35" s="226"/>
      <c r="W35" s="226"/>
    </row>
    <row r="36" spans="1:23" ht="15.75" x14ac:dyDescent="0.25">
      <c r="A36" s="226"/>
      <c r="B36" s="148"/>
      <c r="C36" s="218" t="s">
        <v>59</v>
      </c>
      <c r="D36" s="72" t="s">
        <v>61</v>
      </c>
      <c r="E36" s="72" t="s">
        <v>65</v>
      </c>
      <c r="F36" s="154" t="s">
        <v>245</v>
      </c>
      <c r="G36" s="255" t="s">
        <v>246</v>
      </c>
      <c r="H36" s="256" t="s">
        <v>247</v>
      </c>
      <c r="I36" s="251" t="s">
        <v>256</v>
      </c>
      <c r="J36" s="251" t="s">
        <v>248</v>
      </c>
      <c r="K36" s="255" t="s">
        <v>249</v>
      </c>
      <c r="L36" s="257" t="s">
        <v>250</v>
      </c>
      <c r="M36" s="218" t="s">
        <v>251</v>
      </c>
      <c r="N36" s="218" t="s">
        <v>252</v>
      </c>
      <c r="O36" s="218" t="s">
        <v>253</v>
      </c>
      <c r="P36" s="218" t="s">
        <v>254</v>
      </c>
      <c r="Q36" s="218" t="s">
        <v>255</v>
      </c>
      <c r="R36" s="218" t="s">
        <v>257</v>
      </c>
      <c r="S36" s="218" t="s">
        <v>259</v>
      </c>
      <c r="T36" s="218" t="s">
        <v>260</v>
      </c>
      <c r="U36" s="218" t="s">
        <v>261</v>
      </c>
      <c r="V36" s="218" t="s">
        <v>262</v>
      </c>
      <c r="W36" s="258"/>
    </row>
    <row r="37" spans="1:23" ht="15.75" x14ac:dyDescent="0.25">
      <c r="A37" s="226"/>
      <c r="B37" s="14"/>
      <c r="C37" s="397" t="s">
        <v>149</v>
      </c>
      <c r="D37" s="397"/>
      <c r="E37" s="397"/>
      <c r="F37" s="397"/>
      <c r="G37" s="403"/>
      <c r="H37" s="408" t="s">
        <v>62</v>
      </c>
      <c r="I37" s="409"/>
      <c r="J37" s="409"/>
      <c r="K37" s="410"/>
      <c r="L37" s="411" t="s">
        <v>60</v>
      </c>
      <c r="M37" s="412"/>
      <c r="N37" s="412"/>
      <c r="O37" s="412"/>
      <c r="P37" s="412"/>
      <c r="Q37" s="412"/>
      <c r="R37" s="412"/>
      <c r="S37" s="412"/>
      <c r="T37" s="412"/>
      <c r="U37" s="412"/>
      <c r="V37" s="412"/>
      <c r="W37" s="74"/>
    </row>
    <row r="38" spans="1:23" ht="87.75" customHeight="1" x14ac:dyDescent="0.2">
      <c r="A38" s="226"/>
      <c r="B38" s="155" t="s">
        <v>112</v>
      </c>
      <c r="C38" s="156" t="s">
        <v>188</v>
      </c>
      <c r="D38" s="157" t="s">
        <v>19</v>
      </c>
      <c r="E38" s="157" t="s">
        <v>5</v>
      </c>
      <c r="F38" s="157" t="s">
        <v>18</v>
      </c>
      <c r="G38" s="158" t="s">
        <v>77</v>
      </c>
      <c r="H38" s="159" t="s">
        <v>7</v>
      </c>
      <c r="I38" s="157" t="s">
        <v>8</v>
      </c>
      <c r="J38" s="157" t="s">
        <v>9</v>
      </c>
      <c r="K38" s="160" t="s">
        <v>10</v>
      </c>
      <c r="L38" s="161" t="s">
        <v>191</v>
      </c>
      <c r="M38" s="157" t="s">
        <v>190</v>
      </c>
      <c r="N38" s="157" t="s">
        <v>119</v>
      </c>
      <c r="O38" s="157" t="s">
        <v>120</v>
      </c>
      <c r="P38" s="157" t="s">
        <v>121</v>
      </c>
      <c r="Q38" s="156" t="s">
        <v>122</v>
      </c>
      <c r="R38" s="156" t="s">
        <v>123</v>
      </c>
      <c r="S38" s="156" t="s">
        <v>124</v>
      </c>
      <c r="T38" s="156" t="s">
        <v>125</v>
      </c>
      <c r="U38" s="156" t="s">
        <v>126</v>
      </c>
      <c r="V38" s="156" t="s">
        <v>127</v>
      </c>
      <c r="W38" s="226"/>
    </row>
    <row r="39" spans="1:23" x14ac:dyDescent="0.2">
      <c r="A39" s="226"/>
      <c r="B39" s="259">
        <v>1</v>
      </c>
      <c r="C39" s="260" t="e">
        <f t="shared" ref="C39:C83" si="4">IF(AND(NOT(COUNTA(D39:F39)),(NOT(COUNTA(H39:K39))),(NOT(COUNTA(N39:V39)))),"",VLOOKUP($D$7,Info_County_Code,2,FALSE))</f>
        <v>#REF!</v>
      </c>
      <c r="D39" s="384" t="s">
        <v>320</v>
      </c>
      <c r="E39" s="261"/>
      <c r="F39" s="262" t="s">
        <v>79</v>
      </c>
      <c r="G39" s="263">
        <f>SUM(H39:K39,L39)</f>
        <v>433066</v>
      </c>
      <c r="H39" s="264">
        <v>45774</v>
      </c>
      <c r="I39" s="244"/>
      <c r="J39" s="244"/>
      <c r="K39" s="265"/>
      <c r="L39" s="243">
        <f t="shared" ref="L39:L83" si="5">SUM($N39:$V39)+$M39</f>
        <v>387292</v>
      </c>
      <c r="M39" s="244">
        <v>1590</v>
      </c>
      <c r="N39" s="244">
        <v>165821</v>
      </c>
      <c r="O39" s="244">
        <v>219881</v>
      </c>
      <c r="P39" s="244"/>
      <c r="Q39" s="245"/>
      <c r="R39" s="246"/>
      <c r="S39" s="246"/>
      <c r="T39" s="246"/>
      <c r="U39" s="246"/>
      <c r="V39" s="246"/>
      <c r="W39" s="226"/>
    </row>
    <row r="40" spans="1:23" x14ac:dyDescent="0.2">
      <c r="A40" s="226"/>
      <c r="B40" s="259">
        <v>2</v>
      </c>
      <c r="C40" s="260" t="e">
        <f t="shared" si="4"/>
        <v>#REF!</v>
      </c>
      <c r="D40" s="384" t="s">
        <v>321</v>
      </c>
      <c r="E40" s="261"/>
      <c r="F40" s="262" t="s">
        <v>79</v>
      </c>
      <c r="G40" s="263">
        <f t="shared" ref="G40:G83" si="6">SUM(H40:K40,L40)</f>
        <v>1355870</v>
      </c>
      <c r="H40" s="264">
        <v>132059</v>
      </c>
      <c r="I40" s="244"/>
      <c r="J40" s="244"/>
      <c r="K40" s="265"/>
      <c r="L40" s="243">
        <f t="shared" si="5"/>
        <v>1223811</v>
      </c>
      <c r="M40" s="244">
        <v>4976</v>
      </c>
      <c r="N40" s="244">
        <v>584482</v>
      </c>
      <c r="O40" s="244">
        <v>634353</v>
      </c>
      <c r="P40" s="244"/>
      <c r="Q40" s="245"/>
      <c r="R40" s="246"/>
      <c r="S40" s="246"/>
      <c r="T40" s="246"/>
      <c r="U40" s="246"/>
      <c r="V40" s="246"/>
      <c r="W40" s="226"/>
    </row>
    <row r="41" spans="1:23" x14ac:dyDescent="0.2">
      <c r="A41" s="226"/>
      <c r="B41" s="259">
        <v>3</v>
      </c>
      <c r="C41" s="260" t="e">
        <f t="shared" si="4"/>
        <v>#REF!</v>
      </c>
      <c r="D41" s="384" t="s">
        <v>322</v>
      </c>
      <c r="E41" s="261"/>
      <c r="F41" s="262" t="s">
        <v>79</v>
      </c>
      <c r="G41" s="263">
        <f t="shared" si="6"/>
        <v>854131</v>
      </c>
      <c r="H41" s="264">
        <v>90330</v>
      </c>
      <c r="I41" s="244"/>
      <c r="J41" s="244"/>
      <c r="K41" s="265">
        <v>626145</v>
      </c>
      <c r="L41" s="243">
        <f t="shared" si="5"/>
        <v>137656</v>
      </c>
      <c r="M41" s="244">
        <v>3135</v>
      </c>
      <c r="N41" s="244">
        <v>-299387</v>
      </c>
      <c r="O41" s="244">
        <v>433908</v>
      </c>
      <c r="P41" s="244"/>
      <c r="Q41" s="245"/>
      <c r="R41" s="246"/>
      <c r="S41" s="246"/>
      <c r="T41" s="246"/>
      <c r="U41" s="246"/>
      <c r="V41" s="246"/>
      <c r="W41" s="226"/>
    </row>
    <row r="42" spans="1:23" x14ac:dyDescent="0.2">
      <c r="A42" s="226"/>
      <c r="B42" s="259">
        <v>4</v>
      </c>
      <c r="C42" s="260" t="e">
        <f t="shared" si="4"/>
        <v>#REF!</v>
      </c>
      <c r="D42" s="384" t="s">
        <v>323</v>
      </c>
      <c r="E42" s="261"/>
      <c r="F42" s="262" t="s">
        <v>79</v>
      </c>
      <c r="G42" s="263">
        <f t="shared" si="6"/>
        <v>48385</v>
      </c>
      <c r="H42" s="264">
        <v>1359</v>
      </c>
      <c r="I42" s="244"/>
      <c r="J42" s="244"/>
      <c r="K42" s="265"/>
      <c r="L42" s="243">
        <f t="shared" si="5"/>
        <v>47026</v>
      </c>
      <c r="M42" s="244">
        <v>178</v>
      </c>
      <c r="N42" s="244">
        <v>40320</v>
      </c>
      <c r="O42" s="244">
        <v>6528</v>
      </c>
      <c r="P42" s="244"/>
      <c r="Q42" s="245"/>
      <c r="R42" s="246"/>
      <c r="S42" s="246"/>
      <c r="T42" s="246"/>
      <c r="U42" s="246"/>
      <c r="V42" s="246"/>
      <c r="W42" s="226"/>
    </row>
    <row r="43" spans="1:23" x14ac:dyDescent="0.2">
      <c r="A43" s="226"/>
      <c r="B43" s="259">
        <v>5</v>
      </c>
      <c r="C43" s="260" t="e">
        <f t="shared" si="4"/>
        <v>#REF!</v>
      </c>
      <c r="D43" s="384" t="s">
        <v>324</v>
      </c>
      <c r="E43" s="261"/>
      <c r="F43" s="262" t="s">
        <v>79</v>
      </c>
      <c r="G43" s="263">
        <f t="shared" si="6"/>
        <v>2504118</v>
      </c>
      <c r="H43" s="264">
        <v>245893</v>
      </c>
      <c r="I43" s="244"/>
      <c r="J43" s="244"/>
      <c r="K43" s="265">
        <v>536180</v>
      </c>
      <c r="L43" s="243">
        <f t="shared" si="5"/>
        <v>1722045</v>
      </c>
      <c r="M43" s="244">
        <v>9189</v>
      </c>
      <c r="N43" s="244">
        <v>531696</v>
      </c>
      <c r="O43" s="244">
        <v>1181160</v>
      </c>
      <c r="P43" s="244"/>
      <c r="Q43" s="245"/>
      <c r="R43" s="246"/>
      <c r="S43" s="246"/>
      <c r="T43" s="246"/>
      <c r="U43" s="246"/>
      <c r="V43" s="246"/>
      <c r="W43" s="226"/>
    </row>
    <row r="44" spans="1:23" x14ac:dyDescent="0.2">
      <c r="A44" s="226"/>
      <c r="B44" s="259">
        <v>6</v>
      </c>
      <c r="C44" s="260" t="e">
        <f t="shared" si="4"/>
        <v>#REF!</v>
      </c>
      <c r="D44" s="384" t="s">
        <v>325</v>
      </c>
      <c r="E44" s="261"/>
      <c r="F44" s="262" t="s">
        <v>79</v>
      </c>
      <c r="G44" s="263">
        <f t="shared" si="6"/>
        <v>1393947</v>
      </c>
      <c r="H44" s="264">
        <v>172959</v>
      </c>
      <c r="I44" s="244"/>
      <c r="J44" s="244"/>
      <c r="K44" s="265"/>
      <c r="L44" s="243">
        <f t="shared" si="5"/>
        <v>1220988</v>
      </c>
      <c r="M44" s="244">
        <v>5115</v>
      </c>
      <c r="N44" s="244">
        <v>385050</v>
      </c>
      <c r="O44" s="244">
        <v>830823</v>
      </c>
      <c r="P44" s="244"/>
      <c r="Q44" s="245"/>
      <c r="R44" s="246"/>
      <c r="S44" s="246"/>
      <c r="T44" s="246"/>
      <c r="U44" s="246"/>
      <c r="V44" s="246"/>
      <c r="W44" s="226"/>
    </row>
    <row r="45" spans="1:23" x14ac:dyDescent="0.2">
      <c r="A45" s="226"/>
      <c r="B45" s="259">
        <v>7</v>
      </c>
      <c r="C45" s="260" t="e">
        <f t="shared" si="4"/>
        <v>#REF!</v>
      </c>
      <c r="D45" s="385" t="s">
        <v>326</v>
      </c>
      <c r="E45" s="241"/>
      <c r="F45" s="262" t="s">
        <v>79</v>
      </c>
      <c r="G45" s="263">
        <f t="shared" si="6"/>
        <v>411723</v>
      </c>
      <c r="H45" s="264">
        <v>20000</v>
      </c>
      <c r="I45" s="244"/>
      <c r="J45" s="244"/>
      <c r="K45" s="265"/>
      <c r="L45" s="243">
        <f t="shared" si="5"/>
        <v>391723</v>
      </c>
      <c r="M45" s="244">
        <v>1511</v>
      </c>
      <c r="N45" s="244">
        <v>294139</v>
      </c>
      <c r="O45" s="244">
        <v>96073</v>
      </c>
      <c r="P45" s="244"/>
      <c r="Q45" s="245"/>
      <c r="R45" s="246"/>
      <c r="S45" s="246"/>
      <c r="T45" s="246"/>
      <c r="U45" s="246"/>
      <c r="V45" s="246"/>
      <c r="W45" s="226"/>
    </row>
    <row r="46" spans="1:23" x14ac:dyDescent="0.2">
      <c r="A46" s="226"/>
      <c r="B46" s="259">
        <v>8</v>
      </c>
      <c r="C46" s="260" t="e">
        <f t="shared" si="4"/>
        <v>#REF!</v>
      </c>
      <c r="D46" s="386" t="s">
        <v>327</v>
      </c>
      <c r="E46" s="225"/>
      <c r="F46" s="262" t="s">
        <v>79</v>
      </c>
      <c r="G46" s="263">
        <f t="shared" si="6"/>
        <v>40419</v>
      </c>
      <c r="H46" s="264">
        <v>8851</v>
      </c>
      <c r="I46" s="244"/>
      <c r="J46" s="244"/>
      <c r="K46" s="265"/>
      <c r="L46" s="243">
        <f t="shared" si="5"/>
        <v>31568</v>
      </c>
      <c r="M46" s="244">
        <v>148</v>
      </c>
      <c r="N46" s="244">
        <v>-11098</v>
      </c>
      <c r="O46" s="244">
        <v>42518</v>
      </c>
      <c r="P46" s="244"/>
      <c r="Q46" s="245"/>
      <c r="R46" s="246"/>
      <c r="S46" s="246"/>
      <c r="T46" s="246"/>
      <c r="U46" s="246"/>
      <c r="V46" s="246"/>
      <c r="W46" s="226"/>
    </row>
    <row r="47" spans="1:23" x14ac:dyDescent="0.2">
      <c r="A47" s="226"/>
      <c r="B47" s="259">
        <v>9</v>
      </c>
      <c r="C47" s="260" t="e">
        <f t="shared" si="4"/>
        <v>#REF!</v>
      </c>
      <c r="D47" s="386" t="s">
        <v>328</v>
      </c>
      <c r="E47" s="225"/>
      <c r="F47" s="262" t="s">
        <v>79</v>
      </c>
      <c r="G47" s="263">
        <f t="shared" si="6"/>
        <v>326584</v>
      </c>
      <c r="H47" s="264">
        <v>2544</v>
      </c>
      <c r="I47" s="244"/>
      <c r="J47" s="244"/>
      <c r="K47" s="265"/>
      <c r="L47" s="243">
        <f t="shared" si="5"/>
        <v>324040</v>
      </c>
      <c r="M47" s="244">
        <v>1198</v>
      </c>
      <c r="N47" s="244">
        <v>310621</v>
      </c>
      <c r="O47" s="244">
        <v>12221</v>
      </c>
      <c r="P47" s="244"/>
      <c r="Q47" s="245"/>
      <c r="R47" s="246"/>
      <c r="S47" s="246"/>
      <c r="T47" s="246"/>
      <c r="U47" s="246"/>
      <c r="V47" s="246"/>
      <c r="W47" s="226"/>
    </row>
    <row r="48" spans="1:23" x14ac:dyDescent="0.2">
      <c r="A48" s="226"/>
      <c r="B48" s="259">
        <v>10</v>
      </c>
      <c r="C48" s="260" t="e">
        <f t="shared" si="4"/>
        <v>#REF!</v>
      </c>
      <c r="D48" s="386" t="s">
        <v>329</v>
      </c>
      <c r="E48" s="225"/>
      <c r="F48" s="262"/>
      <c r="G48" s="263">
        <f t="shared" si="6"/>
        <v>107068</v>
      </c>
      <c r="H48" s="264"/>
      <c r="I48" s="244"/>
      <c r="J48" s="244"/>
      <c r="K48" s="265"/>
      <c r="L48" s="243">
        <f t="shared" si="5"/>
        <v>107068</v>
      </c>
      <c r="M48" s="244">
        <v>393</v>
      </c>
      <c r="N48" s="244">
        <v>106675</v>
      </c>
      <c r="O48" s="244"/>
      <c r="P48" s="244"/>
      <c r="Q48" s="245"/>
      <c r="R48" s="246"/>
      <c r="S48" s="246"/>
      <c r="T48" s="246"/>
      <c r="U48" s="246"/>
      <c r="V48" s="246"/>
      <c r="W48" s="226"/>
    </row>
    <row r="49" spans="1:23" x14ac:dyDescent="0.2">
      <c r="A49" s="226"/>
      <c r="B49" s="259">
        <v>11</v>
      </c>
      <c r="C49" s="260" t="str">
        <f t="shared" si="4"/>
        <v/>
      </c>
      <c r="D49" s="225"/>
      <c r="E49" s="225"/>
      <c r="F49" s="262"/>
      <c r="G49" s="263">
        <f t="shared" si="6"/>
        <v>0</v>
      </c>
      <c r="H49" s="264"/>
      <c r="I49" s="244"/>
      <c r="J49" s="244"/>
      <c r="K49" s="265"/>
      <c r="L49" s="243">
        <f t="shared" si="5"/>
        <v>0</v>
      </c>
      <c r="M49" s="244"/>
      <c r="N49" s="244"/>
      <c r="O49" s="244"/>
      <c r="P49" s="244"/>
      <c r="Q49" s="245"/>
      <c r="R49" s="246"/>
      <c r="S49" s="246"/>
      <c r="T49" s="246"/>
      <c r="U49" s="246"/>
      <c r="V49" s="246"/>
      <c r="W49" s="226"/>
    </row>
    <row r="50" spans="1:23" x14ac:dyDescent="0.2">
      <c r="A50" s="226"/>
      <c r="B50" s="259">
        <v>12</v>
      </c>
      <c r="C50" s="260" t="str">
        <f t="shared" si="4"/>
        <v/>
      </c>
      <c r="D50" s="225"/>
      <c r="E50" s="225"/>
      <c r="F50" s="262"/>
      <c r="G50" s="263">
        <f t="shared" si="6"/>
        <v>0</v>
      </c>
      <c r="H50" s="264"/>
      <c r="I50" s="244"/>
      <c r="J50" s="244"/>
      <c r="K50" s="265"/>
      <c r="L50" s="243">
        <f t="shared" si="5"/>
        <v>0</v>
      </c>
      <c r="M50" s="244"/>
      <c r="N50" s="244"/>
      <c r="O50" s="244"/>
      <c r="P50" s="244"/>
      <c r="Q50" s="245"/>
      <c r="R50" s="246"/>
      <c r="S50" s="246"/>
      <c r="T50" s="246"/>
      <c r="U50" s="246"/>
      <c r="V50" s="246"/>
      <c r="W50" s="226"/>
    </row>
    <row r="51" spans="1:23" x14ac:dyDescent="0.2">
      <c r="A51" s="226"/>
      <c r="B51" s="259">
        <v>13</v>
      </c>
      <c r="C51" s="260" t="str">
        <f t="shared" si="4"/>
        <v/>
      </c>
      <c r="D51" s="225"/>
      <c r="E51" s="225"/>
      <c r="F51" s="262"/>
      <c r="G51" s="263">
        <f t="shared" si="6"/>
        <v>0</v>
      </c>
      <c r="H51" s="264"/>
      <c r="I51" s="244"/>
      <c r="J51" s="244"/>
      <c r="K51" s="265"/>
      <c r="L51" s="243">
        <f t="shared" si="5"/>
        <v>0</v>
      </c>
      <c r="M51" s="244"/>
      <c r="N51" s="244"/>
      <c r="O51" s="244"/>
      <c r="P51" s="244"/>
      <c r="Q51" s="245"/>
      <c r="R51" s="246"/>
      <c r="S51" s="246"/>
      <c r="T51" s="246"/>
      <c r="U51" s="246"/>
      <c r="V51" s="246"/>
      <c r="W51" s="226"/>
    </row>
    <row r="52" spans="1:23" x14ac:dyDescent="0.2">
      <c r="A52" s="226"/>
      <c r="B52" s="259">
        <v>14</v>
      </c>
      <c r="C52" s="260" t="str">
        <f t="shared" si="4"/>
        <v/>
      </c>
      <c r="D52" s="225"/>
      <c r="E52" s="225"/>
      <c r="F52" s="262"/>
      <c r="G52" s="263">
        <f t="shared" si="6"/>
        <v>0</v>
      </c>
      <c r="H52" s="264"/>
      <c r="I52" s="244"/>
      <c r="J52" s="244"/>
      <c r="K52" s="265"/>
      <c r="L52" s="243">
        <f t="shared" si="5"/>
        <v>0</v>
      </c>
      <c r="M52" s="244"/>
      <c r="N52" s="244"/>
      <c r="O52" s="244"/>
      <c r="P52" s="244"/>
      <c r="Q52" s="245"/>
      <c r="R52" s="246"/>
      <c r="S52" s="246"/>
      <c r="T52" s="246"/>
      <c r="U52" s="246"/>
      <c r="V52" s="246"/>
      <c r="W52" s="226"/>
    </row>
    <row r="53" spans="1:23" x14ac:dyDescent="0.2">
      <c r="A53" s="226"/>
      <c r="B53" s="259">
        <v>15</v>
      </c>
      <c r="C53" s="260" t="str">
        <f t="shared" si="4"/>
        <v/>
      </c>
      <c r="D53" s="225"/>
      <c r="E53" s="225"/>
      <c r="F53" s="262"/>
      <c r="G53" s="263">
        <f t="shared" si="6"/>
        <v>0</v>
      </c>
      <c r="H53" s="264"/>
      <c r="I53" s="244"/>
      <c r="J53" s="244"/>
      <c r="K53" s="265"/>
      <c r="L53" s="243">
        <f t="shared" si="5"/>
        <v>0</v>
      </c>
      <c r="M53" s="244"/>
      <c r="N53" s="244"/>
      <c r="O53" s="244"/>
      <c r="P53" s="244"/>
      <c r="Q53" s="245"/>
      <c r="R53" s="246"/>
      <c r="S53" s="246"/>
      <c r="T53" s="246"/>
      <c r="U53" s="246"/>
      <c r="V53" s="246"/>
      <c r="W53" s="226"/>
    </row>
    <row r="54" spans="1:23" x14ac:dyDescent="0.2">
      <c r="A54" s="226"/>
      <c r="B54" s="259">
        <v>16</v>
      </c>
      <c r="C54" s="260" t="str">
        <f t="shared" si="4"/>
        <v/>
      </c>
      <c r="D54" s="225"/>
      <c r="E54" s="225"/>
      <c r="F54" s="262"/>
      <c r="G54" s="263">
        <f t="shared" si="6"/>
        <v>0</v>
      </c>
      <c r="H54" s="264"/>
      <c r="I54" s="244"/>
      <c r="J54" s="244"/>
      <c r="K54" s="265"/>
      <c r="L54" s="243">
        <f t="shared" si="5"/>
        <v>0</v>
      </c>
      <c r="M54" s="244"/>
      <c r="N54" s="244"/>
      <c r="O54" s="244"/>
      <c r="P54" s="244"/>
      <c r="Q54" s="245"/>
      <c r="R54" s="246"/>
      <c r="S54" s="246"/>
      <c r="T54" s="246"/>
      <c r="U54" s="246"/>
      <c r="V54" s="246"/>
      <c r="W54" s="226"/>
    </row>
    <row r="55" spans="1:23" x14ac:dyDescent="0.2">
      <c r="A55" s="226"/>
      <c r="B55" s="259">
        <v>17</v>
      </c>
      <c r="C55" s="260" t="str">
        <f t="shared" si="4"/>
        <v/>
      </c>
      <c r="D55" s="225"/>
      <c r="E55" s="225"/>
      <c r="F55" s="262"/>
      <c r="G55" s="263">
        <f t="shared" si="6"/>
        <v>0</v>
      </c>
      <c r="H55" s="264"/>
      <c r="I55" s="244"/>
      <c r="J55" s="244"/>
      <c r="K55" s="265"/>
      <c r="L55" s="243">
        <f t="shared" si="5"/>
        <v>0</v>
      </c>
      <c r="M55" s="244"/>
      <c r="N55" s="244"/>
      <c r="O55" s="244"/>
      <c r="P55" s="244"/>
      <c r="Q55" s="245"/>
      <c r="R55" s="246"/>
      <c r="S55" s="246"/>
      <c r="T55" s="246"/>
      <c r="U55" s="246"/>
      <c r="V55" s="246"/>
      <c r="W55" s="226"/>
    </row>
    <row r="56" spans="1:23" x14ac:dyDescent="0.2">
      <c r="A56" s="226"/>
      <c r="B56" s="259">
        <v>18</v>
      </c>
      <c r="C56" s="260" t="str">
        <f t="shared" si="4"/>
        <v/>
      </c>
      <c r="D56" s="225"/>
      <c r="E56" s="225"/>
      <c r="F56" s="262"/>
      <c r="G56" s="263">
        <f t="shared" si="6"/>
        <v>0</v>
      </c>
      <c r="H56" s="264"/>
      <c r="I56" s="244"/>
      <c r="J56" s="244"/>
      <c r="K56" s="265"/>
      <c r="L56" s="243">
        <f t="shared" si="5"/>
        <v>0</v>
      </c>
      <c r="M56" s="244"/>
      <c r="N56" s="244"/>
      <c r="O56" s="244"/>
      <c r="P56" s="244"/>
      <c r="Q56" s="245"/>
      <c r="R56" s="246"/>
      <c r="S56" s="246"/>
      <c r="T56" s="246"/>
      <c r="U56" s="246"/>
      <c r="V56" s="246"/>
      <c r="W56" s="226"/>
    </row>
    <row r="57" spans="1:23" x14ac:dyDescent="0.2">
      <c r="A57" s="226"/>
      <c r="B57" s="259">
        <v>19</v>
      </c>
      <c r="C57" s="260" t="str">
        <f t="shared" si="4"/>
        <v/>
      </c>
      <c r="D57" s="225"/>
      <c r="E57" s="225"/>
      <c r="F57" s="262"/>
      <c r="G57" s="263">
        <f t="shared" si="6"/>
        <v>0</v>
      </c>
      <c r="H57" s="264"/>
      <c r="I57" s="244"/>
      <c r="J57" s="244"/>
      <c r="K57" s="265"/>
      <c r="L57" s="243">
        <f t="shared" si="5"/>
        <v>0</v>
      </c>
      <c r="M57" s="244"/>
      <c r="N57" s="244"/>
      <c r="O57" s="244"/>
      <c r="P57" s="244"/>
      <c r="Q57" s="245"/>
      <c r="R57" s="246"/>
      <c r="S57" s="246"/>
      <c r="T57" s="246"/>
      <c r="U57" s="246"/>
      <c r="V57" s="246"/>
      <c r="W57" s="226"/>
    </row>
    <row r="58" spans="1:23" x14ac:dyDescent="0.2">
      <c r="A58" s="226"/>
      <c r="B58" s="259">
        <v>20</v>
      </c>
      <c r="C58" s="260" t="str">
        <f t="shared" si="4"/>
        <v/>
      </c>
      <c r="D58" s="225"/>
      <c r="E58" s="225"/>
      <c r="F58" s="262"/>
      <c r="G58" s="263">
        <f t="shared" si="6"/>
        <v>0</v>
      </c>
      <c r="H58" s="264"/>
      <c r="I58" s="244"/>
      <c r="J58" s="244"/>
      <c r="K58" s="265"/>
      <c r="L58" s="243">
        <f t="shared" si="5"/>
        <v>0</v>
      </c>
      <c r="M58" s="244"/>
      <c r="N58" s="244"/>
      <c r="O58" s="244"/>
      <c r="P58" s="244"/>
      <c r="Q58" s="245"/>
      <c r="R58" s="246"/>
      <c r="S58" s="246"/>
      <c r="T58" s="246"/>
      <c r="U58" s="246"/>
      <c r="V58" s="246"/>
      <c r="W58" s="226"/>
    </row>
    <row r="59" spans="1:23" x14ac:dyDescent="0.2">
      <c r="A59" s="226"/>
      <c r="B59" s="259">
        <v>21</v>
      </c>
      <c r="C59" s="260" t="str">
        <f t="shared" si="4"/>
        <v/>
      </c>
      <c r="D59" s="225"/>
      <c r="E59" s="225"/>
      <c r="F59" s="262"/>
      <c r="G59" s="263">
        <f t="shared" si="6"/>
        <v>0</v>
      </c>
      <c r="H59" s="264"/>
      <c r="I59" s="244"/>
      <c r="J59" s="244"/>
      <c r="K59" s="265"/>
      <c r="L59" s="243">
        <f t="shared" si="5"/>
        <v>0</v>
      </c>
      <c r="M59" s="244"/>
      <c r="N59" s="244"/>
      <c r="O59" s="244"/>
      <c r="P59" s="244"/>
      <c r="Q59" s="245"/>
      <c r="R59" s="246"/>
      <c r="S59" s="246"/>
      <c r="T59" s="246"/>
      <c r="U59" s="246"/>
      <c r="V59" s="246"/>
      <c r="W59" s="226"/>
    </row>
    <row r="60" spans="1:23" x14ac:dyDescent="0.2">
      <c r="A60" s="226"/>
      <c r="B60" s="259">
        <v>22</v>
      </c>
      <c r="C60" s="260" t="str">
        <f t="shared" si="4"/>
        <v/>
      </c>
      <c r="D60" s="225"/>
      <c r="E60" s="225"/>
      <c r="F60" s="262"/>
      <c r="G60" s="263">
        <f t="shared" si="6"/>
        <v>0</v>
      </c>
      <c r="H60" s="264"/>
      <c r="I60" s="244"/>
      <c r="J60" s="244"/>
      <c r="K60" s="265"/>
      <c r="L60" s="243">
        <f t="shared" si="5"/>
        <v>0</v>
      </c>
      <c r="M60" s="244"/>
      <c r="N60" s="244"/>
      <c r="O60" s="244"/>
      <c r="P60" s="244"/>
      <c r="Q60" s="245"/>
      <c r="R60" s="246"/>
      <c r="S60" s="246"/>
      <c r="T60" s="246"/>
      <c r="U60" s="246"/>
      <c r="V60" s="246"/>
      <c r="W60" s="226"/>
    </row>
    <row r="61" spans="1:23" x14ac:dyDescent="0.2">
      <c r="A61" s="226"/>
      <c r="B61" s="259">
        <v>23</v>
      </c>
      <c r="C61" s="260" t="str">
        <f t="shared" si="4"/>
        <v/>
      </c>
      <c r="D61" s="225"/>
      <c r="E61" s="225"/>
      <c r="F61" s="262"/>
      <c r="G61" s="263">
        <f t="shared" si="6"/>
        <v>0</v>
      </c>
      <c r="H61" s="264"/>
      <c r="I61" s="244"/>
      <c r="J61" s="244"/>
      <c r="K61" s="265"/>
      <c r="L61" s="243">
        <f t="shared" si="5"/>
        <v>0</v>
      </c>
      <c r="M61" s="244"/>
      <c r="N61" s="244"/>
      <c r="O61" s="244"/>
      <c r="P61" s="244"/>
      <c r="Q61" s="245"/>
      <c r="R61" s="246"/>
      <c r="S61" s="246"/>
      <c r="T61" s="246"/>
      <c r="U61" s="246"/>
      <c r="V61" s="246"/>
      <c r="W61" s="226"/>
    </row>
    <row r="62" spans="1:23" x14ac:dyDescent="0.2">
      <c r="A62" s="226"/>
      <c r="B62" s="259">
        <v>24</v>
      </c>
      <c r="C62" s="260" t="str">
        <f t="shared" si="4"/>
        <v/>
      </c>
      <c r="D62" s="225"/>
      <c r="E62" s="225"/>
      <c r="F62" s="262"/>
      <c r="G62" s="263">
        <f t="shared" si="6"/>
        <v>0</v>
      </c>
      <c r="H62" s="264"/>
      <c r="I62" s="244"/>
      <c r="J62" s="244"/>
      <c r="K62" s="265"/>
      <c r="L62" s="243">
        <f t="shared" si="5"/>
        <v>0</v>
      </c>
      <c r="M62" s="244"/>
      <c r="N62" s="244"/>
      <c r="O62" s="244"/>
      <c r="P62" s="244"/>
      <c r="Q62" s="245"/>
      <c r="R62" s="246"/>
      <c r="S62" s="246"/>
      <c r="T62" s="246"/>
      <c r="U62" s="246"/>
      <c r="V62" s="246"/>
      <c r="W62" s="226"/>
    </row>
    <row r="63" spans="1:23" x14ac:dyDescent="0.2">
      <c r="A63" s="226"/>
      <c r="B63" s="259">
        <v>25</v>
      </c>
      <c r="C63" s="260" t="str">
        <f t="shared" si="4"/>
        <v/>
      </c>
      <c r="D63" s="225"/>
      <c r="E63" s="225"/>
      <c r="F63" s="262"/>
      <c r="G63" s="263">
        <f t="shared" si="6"/>
        <v>0</v>
      </c>
      <c r="H63" s="264"/>
      <c r="I63" s="244"/>
      <c r="J63" s="244"/>
      <c r="K63" s="265"/>
      <c r="L63" s="243">
        <f t="shared" si="5"/>
        <v>0</v>
      </c>
      <c r="M63" s="244"/>
      <c r="N63" s="244"/>
      <c r="O63" s="244"/>
      <c r="P63" s="244"/>
      <c r="Q63" s="245"/>
      <c r="R63" s="246"/>
      <c r="S63" s="246"/>
      <c r="T63" s="246"/>
      <c r="U63" s="246"/>
      <c r="V63" s="246"/>
      <c r="W63" s="226"/>
    </row>
    <row r="64" spans="1:23" x14ac:dyDescent="0.2">
      <c r="A64" s="226"/>
      <c r="B64" s="259">
        <v>26</v>
      </c>
      <c r="C64" s="260" t="str">
        <f t="shared" si="4"/>
        <v/>
      </c>
      <c r="D64" s="225"/>
      <c r="E64" s="225"/>
      <c r="F64" s="262"/>
      <c r="G64" s="263">
        <f t="shared" si="6"/>
        <v>0</v>
      </c>
      <c r="H64" s="264"/>
      <c r="I64" s="244"/>
      <c r="J64" s="244"/>
      <c r="K64" s="265"/>
      <c r="L64" s="243">
        <f t="shared" si="5"/>
        <v>0</v>
      </c>
      <c r="M64" s="244"/>
      <c r="N64" s="244"/>
      <c r="O64" s="244"/>
      <c r="P64" s="244"/>
      <c r="Q64" s="245"/>
      <c r="R64" s="246"/>
      <c r="S64" s="246"/>
      <c r="T64" s="246"/>
      <c r="U64" s="246"/>
      <c r="V64" s="246"/>
      <c r="W64" s="226"/>
    </row>
    <row r="65" spans="1:23" x14ac:dyDescent="0.2">
      <c r="A65" s="226"/>
      <c r="B65" s="259">
        <v>27</v>
      </c>
      <c r="C65" s="260" t="str">
        <f t="shared" si="4"/>
        <v/>
      </c>
      <c r="D65" s="225"/>
      <c r="E65" s="225"/>
      <c r="F65" s="262"/>
      <c r="G65" s="263">
        <f t="shared" si="6"/>
        <v>0</v>
      </c>
      <c r="H65" s="264"/>
      <c r="I65" s="244"/>
      <c r="J65" s="244"/>
      <c r="K65" s="265"/>
      <c r="L65" s="243">
        <f t="shared" si="5"/>
        <v>0</v>
      </c>
      <c r="M65" s="244"/>
      <c r="N65" s="244"/>
      <c r="O65" s="244"/>
      <c r="P65" s="244"/>
      <c r="Q65" s="245"/>
      <c r="R65" s="246"/>
      <c r="S65" s="246"/>
      <c r="T65" s="246"/>
      <c r="U65" s="246"/>
      <c r="V65" s="246"/>
      <c r="W65" s="226"/>
    </row>
    <row r="66" spans="1:23" x14ac:dyDescent="0.2">
      <c r="A66" s="226"/>
      <c r="B66" s="259">
        <v>28</v>
      </c>
      <c r="C66" s="260" t="str">
        <f t="shared" si="4"/>
        <v/>
      </c>
      <c r="D66" s="225"/>
      <c r="E66" s="225"/>
      <c r="F66" s="262"/>
      <c r="G66" s="263">
        <f t="shared" si="6"/>
        <v>0</v>
      </c>
      <c r="H66" s="264"/>
      <c r="I66" s="244"/>
      <c r="J66" s="244"/>
      <c r="K66" s="265"/>
      <c r="L66" s="243">
        <f t="shared" si="5"/>
        <v>0</v>
      </c>
      <c r="M66" s="244"/>
      <c r="N66" s="244"/>
      <c r="O66" s="244"/>
      <c r="P66" s="244"/>
      <c r="Q66" s="245"/>
      <c r="R66" s="246"/>
      <c r="S66" s="246"/>
      <c r="T66" s="246"/>
      <c r="U66" s="246"/>
      <c r="V66" s="246"/>
      <c r="W66" s="226"/>
    </row>
    <row r="67" spans="1:23" x14ac:dyDescent="0.2">
      <c r="A67" s="226"/>
      <c r="B67" s="259">
        <v>29</v>
      </c>
      <c r="C67" s="260" t="str">
        <f t="shared" si="4"/>
        <v/>
      </c>
      <c r="D67" s="225"/>
      <c r="E67" s="225"/>
      <c r="F67" s="262"/>
      <c r="G67" s="263">
        <f t="shared" si="6"/>
        <v>0</v>
      </c>
      <c r="H67" s="264"/>
      <c r="I67" s="244"/>
      <c r="J67" s="244"/>
      <c r="K67" s="265"/>
      <c r="L67" s="243">
        <f t="shared" si="5"/>
        <v>0</v>
      </c>
      <c r="M67" s="244"/>
      <c r="N67" s="244"/>
      <c r="O67" s="244"/>
      <c r="P67" s="244"/>
      <c r="Q67" s="245"/>
      <c r="R67" s="246"/>
      <c r="S67" s="246"/>
      <c r="T67" s="246"/>
      <c r="U67" s="246"/>
      <c r="V67" s="246"/>
      <c r="W67" s="226"/>
    </row>
    <row r="68" spans="1:23" x14ac:dyDescent="0.2">
      <c r="A68" s="226"/>
      <c r="B68" s="259">
        <v>30</v>
      </c>
      <c r="C68" s="260" t="str">
        <f t="shared" si="4"/>
        <v/>
      </c>
      <c r="D68" s="225"/>
      <c r="E68" s="225"/>
      <c r="F68" s="262"/>
      <c r="G68" s="263">
        <f t="shared" si="6"/>
        <v>0</v>
      </c>
      <c r="H68" s="264"/>
      <c r="I68" s="244"/>
      <c r="J68" s="244"/>
      <c r="K68" s="265"/>
      <c r="L68" s="243">
        <f t="shared" si="5"/>
        <v>0</v>
      </c>
      <c r="M68" s="244"/>
      <c r="N68" s="244"/>
      <c r="O68" s="244"/>
      <c r="P68" s="244"/>
      <c r="Q68" s="245"/>
      <c r="R68" s="246"/>
      <c r="S68" s="246"/>
      <c r="T68" s="246"/>
      <c r="U68" s="246"/>
      <c r="V68" s="246"/>
      <c r="W68" s="226"/>
    </row>
    <row r="69" spans="1:23" x14ac:dyDescent="0.2">
      <c r="A69" s="226"/>
      <c r="B69" s="259">
        <v>31</v>
      </c>
      <c r="C69" s="260" t="str">
        <f t="shared" si="4"/>
        <v/>
      </c>
      <c r="D69" s="225"/>
      <c r="E69" s="225"/>
      <c r="F69" s="262"/>
      <c r="G69" s="263">
        <f t="shared" si="6"/>
        <v>0</v>
      </c>
      <c r="H69" s="264"/>
      <c r="I69" s="244"/>
      <c r="J69" s="244"/>
      <c r="K69" s="265"/>
      <c r="L69" s="243">
        <f t="shared" si="5"/>
        <v>0</v>
      </c>
      <c r="M69" s="244"/>
      <c r="N69" s="244"/>
      <c r="O69" s="244"/>
      <c r="P69" s="244"/>
      <c r="Q69" s="245"/>
      <c r="R69" s="246"/>
      <c r="S69" s="246"/>
      <c r="T69" s="246"/>
      <c r="U69" s="246"/>
      <c r="V69" s="246"/>
      <c r="W69" s="226"/>
    </row>
    <row r="70" spans="1:23" x14ac:dyDescent="0.2">
      <c r="A70" s="226"/>
      <c r="B70" s="259">
        <v>32</v>
      </c>
      <c r="C70" s="260" t="str">
        <f t="shared" si="4"/>
        <v/>
      </c>
      <c r="D70" s="225"/>
      <c r="E70" s="225"/>
      <c r="F70" s="262"/>
      <c r="G70" s="263">
        <f t="shared" si="6"/>
        <v>0</v>
      </c>
      <c r="H70" s="264"/>
      <c r="I70" s="244"/>
      <c r="J70" s="244"/>
      <c r="K70" s="265"/>
      <c r="L70" s="243">
        <f t="shared" si="5"/>
        <v>0</v>
      </c>
      <c r="M70" s="244"/>
      <c r="N70" s="244"/>
      <c r="O70" s="244"/>
      <c r="P70" s="244"/>
      <c r="Q70" s="245"/>
      <c r="R70" s="246"/>
      <c r="S70" s="246"/>
      <c r="T70" s="246"/>
      <c r="U70" s="246"/>
      <c r="V70" s="246"/>
      <c r="W70" s="226"/>
    </row>
    <row r="71" spans="1:23" x14ac:dyDescent="0.2">
      <c r="A71" s="226"/>
      <c r="B71" s="259">
        <v>33</v>
      </c>
      <c r="C71" s="260" t="str">
        <f t="shared" si="4"/>
        <v/>
      </c>
      <c r="D71" s="225"/>
      <c r="E71" s="225"/>
      <c r="F71" s="262"/>
      <c r="G71" s="263">
        <f t="shared" si="6"/>
        <v>0</v>
      </c>
      <c r="H71" s="264"/>
      <c r="I71" s="244"/>
      <c r="J71" s="244"/>
      <c r="K71" s="265"/>
      <c r="L71" s="243">
        <f t="shared" si="5"/>
        <v>0</v>
      </c>
      <c r="M71" s="244"/>
      <c r="N71" s="244"/>
      <c r="O71" s="244"/>
      <c r="P71" s="244"/>
      <c r="Q71" s="245"/>
      <c r="R71" s="246"/>
      <c r="S71" s="246"/>
      <c r="T71" s="246"/>
      <c r="U71" s="246"/>
      <c r="V71" s="246"/>
      <c r="W71" s="226"/>
    </row>
    <row r="72" spans="1:23" x14ac:dyDescent="0.2">
      <c r="A72" s="226"/>
      <c r="B72" s="259">
        <v>34</v>
      </c>
      <c r="C72" s="260" t="str">
        <f t="shared" si="4"/>
        <v/>
      </c>
      <c r="D72" s="225"/>
      <c r="E72" s="225"/>
      <c r="F72" s="262"/>
      <c r="G72" s="263">
        <f t="shared" si="6"/>
        <v>0</v>
      </c>
      <c r="H72" s="264"/>
      <c r="I72" s="244"/>
      <c r="J72" s="244"/>
      <c r="K72" s="265"/>
      <c r="L72" s="243">
        <f t="shared" si="5"/>
        <v>0</v>
      </c>
      <c r="M72" s="244"/>
      <c r="N72" s="244"/>
      <c r="O72" s="244"/>
      <c r="P72" s="244"/>
      <c r="Q72" s="245"/>
      <c r="R72" s="246"/>
      <c r="S72" s="246"/>
      <c r="T72" s="246"/>
      <c r="U72" s="246"/>
      <c r="V72" s="246"/>
      <c r="W72" s="226"/>
    </row>
    <row r="73" spans="1:23" x14ac:dyDescent="0.2">
      <c r="A73" s="226"/>
      <c r="B73" s="259">
        <v>35</v>
      </c>
      <c r="C73" s="260" t="str">
        <f t="shared" si="4"/>
        <v/>
      </c>
      <c r="D73" s="225"/>
      <c r="E73" s="225"/>
      <c r="F73" s="262"/>
      <c r="G73" s="263">
        <f t="shared" si="6"/>
        <v>0</v>
      </c>
      <c r="H73" s="264"/>
      <c r="I73" s="244"/>
      <c r="J73" s="244"/>
      <c r="K73" s="265"/>
      <c r="L73" s="243">
        <f t="shared" si="5"/>
        <v>0</v>
      </c>
      <c r="M73" s="244"/>
      <c r="N73" s="244"/>
      <c r="O73" s="244"/>
      <c r="P73" s="244"/>
      <c r="Q73" s="245"/>
      <c r="R73" s="246"/>
      <c r="S73" s="246"/>
      <c r="T73" s="246"/>
      <c r="U73" s="246"/>
      <c r="V73" s="246"/>
      <c r="W73" s="226"/>
    </row>
    <row r="74" spans="1:23" x14ac:dyDescent="0.2">
      <c r="A74" s="226"/>
      <c r="B74" s="259">
        <v>36</v>
      </c>
      <c r="C74" s="260" t="str">
        <f t="shared" si="4"/>
        <v/>
      </c>
      <c r="D74" s="225"/>
      <c r="E74" s="225"/>
      <c r="F74" s="262"/>
      <c r="G74" s="263">
        <f t="shared" si="6"/>
        <v>0</v>
      </c>
      <c r="H74" s="264"/>
      <c r="I74" s="244"/>
      <c r="J74" s="244"/>
      <c r="K74" s="265"/>
      <c r="L74" s="243">
        <f t="shared" si="5"/>
        <v>0</v>
      </c>
      <c r="M74" s="244"/>
      <c r="N74" s="244"/>
      <c r="O74" s="244"/>
      <c r="P74" s="244"/>
      <c r="Q74" s="245"/>
      <c r="R74" s="246"/>
      <c r="S74" s="246"/>
      <c r="T74" s="246"/>
      <c r="U74" s="246"/>
      <c r="V74" s="246"/>
      <c r="W74" s="226"/>
    </row>
    <row r="75" spans="1:23" x14ac:dyDescent="0.2">
      <c r="A75" s="226"/>
      <c r="B75" s="259">
        <v>37</v>
      </c>
      <c r="C75" s="260" t="str">
        <f t="shared" si="4"/>
        <v/>
      </c>
      <c r="D75" s="225"/>
      <c r="E75" s="225"/>
      <c r="F75" s="262"/>
      <c r="G75" s="263">
        <f t="shared" si="6"/>
        <v>0</v>
      </c>
      <c r="H75" s="264"/>
      <c r="I75" s="244"/>
      <c r="J75" s="244"/>
      <c r="K75" s="265"/>
      <c r="L75" s="243">
        <f t="shared" si="5"/>
        <v>0</v>
      </c>
      <c r="M75" s="244"/>
      <c r="N75" s="244"/>
      <c r="O75" s="244"/>
      <c r="P75" s="244"/>
      <c r="Q75" s="245"/>
      <c r="R75" s="246"/>
      <c r="S75" s="246"/>
      <c r="T75" s="246"/>
      <c r="U75" s="246"/>
      <c r="V75" s="246"/>
      <c r="W75" s="226"/>
    </row>
    <row r="76" spans="1:23" x14ac:dyDescent="0.2">
      <c r="A76" s="226"/>
      <c r="B76" s="259">
        <v>38</v>
      </c>
      <c r="C76" s="260" t="str">
        <f t="shared" si="4"/>
        <v/>
      </c>
      <c r="D76" s="225"/>
      <c r="E76" s="225"/>
      <c r="F76" s="262"/>
      <c r="G76" s="263">
        <f t="shared" si="6"/>
        <v>0</v>
      </c>
      <c r="H76" s="264"/>
      <c r="I76" s="244"/>
      <c r="J76" s="244"/>
      <c r="K76" s="265"/>
      <c r="L76" s="243">
        <f t="shared" si="5"/>
        <v>0</v>
      </c>
      <c r="M76" s="244"/>
      <c r="N76" s="244"/>
      <c r="O76" s="244"/>
      <c r="P76" s="244"/>
      <c r="Q76" s="245"/>
      <c r="R76" s="246"/>
      <c r="S76" s="246"/>
      <c r="T76" s="246"/>
      <c r="U76" s="246"/>
      <c r="V76" s="246"/>
      <c r="W76" s="226"/>
    </row>
    <row r="77" spans="1:23" x14ac:dyDescent="0.2">
      <c r="A77" s="226"/>
      <c r="B77" s="259">
        <v>39</v>
      </c>
      <c r="C77" s="260" t="str">
        <f t="shared" si="4"/>
        <v/>
      </c>
      <c r="D77" s="225"/>
      <c r="E77" s="225"/>
      <c r="F77" s="262"/>
      <c r="G77" s="263">
        <f t="shared" si="6"/>
        <v>0</v>
      </c>
      <c r="H77" s="264"/>
      <c r="I77" s="244"/>
      <c r="J77" s="244"/>
      <c r="K77" s="265"/>
      <c r="L77" s="243">
        <f t="shared" si="5"/>
        <v>0</v>
      </c>
      <c r="M77" s="244"/>
      <c r="N77" s="244"/>
      <c r="O77" s="244"/>
      <c r="P77" s="244"/>
      <c r="Q77" s="245"/>
      <c r="R77" s="246"/>
      <c r="S77" s="246"/>
      <c r="T77" s="246"/>
      <c r="U77" s="246"/>
      <c r="V77" s="246"/>
      <c r="W77" s="226"/>
    </row>
    <row r="78" spans="1:23" x14ac:dyDescent="0.2">
      <c r="A78" s="226"/>
      <c r="B78" s="259">
        <v>40</v>
      </c>
      <c r="C78" s="260" t="str">
        <f t="shared" si="4"/>
        <v/>
      </c>
      <c r="D78" s="225"/>
      <c r="E78" s="225"/>
      <c r="F78" s="262"/>
      <c r="G78" s="263">
        <f t="shared" si="6"/>
        <v>0</v>
      </c>
      <c r="H78" s="264"/>
      <c r="I78" s="244"/>
      <c r="J78" s="244"/>
      <c r="K78" s="265"/>
      <c r="L78" s="243">
        <f t="shared" si="5"/>
        <v>0</v>
      </c>
      <c r="M78" s="244"/>
      <c r="N78" s="244"/>
      <c r="O78" s="244"/>
      <c r="P78" s="244"/>
      <c r="Q78" s="245"/>
      <c r="R78" s="246"/>
      <c r="S78" s="246"/>
      <c r="T78" s="246"/>
      <c r="U78" s="246"/>
      <c r="V78" s="246"/>
      <c r="W78" s="226"/>
    </row>
    <row r="79" spans="1:23" x14ac:dyDescent="0.2">
      <c r="A79" s="226"/>
      <c r="B79" s="259">
        <v>41</v>
      </c>
      <c r="C79" s="260" t="str">
        <f t="shared" si="4"/>
        <v/>
      </c>
      <c r="D79" s="225"/>
      <c r="E79" s="225"/>
      <c r="F79" s="262"/>
      <c r="G79" s="263">
        <f t="shared" si="6"/>
        <v>0</v>
      </c>
      <c r="H79" s="264"/>
      <c r="I79" s="244"/>
      <c r="J79" s="244"/>
      <c r="K79" s="265"/>
      <c r="L79" s="243">
        <f t="shared" si="5"/>
        <v>0</v>
      </c>
      <c r="M79" s="244"/>
      <c r="N79" s="244"/>
      <c r="O79" s="244"/>
      <c r="P79" s="244"/>
      <c r="Q79" s="245"/>
      <c r="R79" s="246"/>
      <c r="S79" s="246"/>
      <c r="T79" s="246"/>
      <c r="U79" s="246"/>
      <c r="V79" s="246"/>
      <c r="W79" s="226"/>
    </row>
    <row r="80" spans="1:23" x14ac:dyDescent="0.2">
      <c r="A80" s="226"/>
      <c r="B80" s="259">
        <v>42</v>
      </c>
      <c r="C80" s="260" t="str">
        <f t="shared" si="4"/>
        <v/>
      </c>
      <c r="D80" s="225"/>
      <c r="E80" s="225"/>
      <c r="F80" s="262"/>
      <c r="G80" s="263">
        <f t="shared" si="6"/>
        <v>0</v>
      </c>
      <c r="H80" s="264"/>
      <c r="I80" s="244"/>
      <c r="J80" s="244"/>
      <c r="K80" s="265"/>
      <c r="L80" s="243">
        <f t="shared" si="5"/>
        <v>0</v>
      </c>
      <c r="M80" s="244"/>
      <c r="N80" s="244"/>
      <c r="O80" s="244"/>
      <c r="P80" s="244"/>
      <c r="Q80" s="245"/>
      <c r="R80" s="246"/>
      <c r="S80" s="246"/>
      <c r="T80" s="246"/>
      <c r="U80" s="246"/>
      <c r="V80" s="246"/>
      <c r="W80" s="226"/>
    </row>
    <row r="81" spans="1:23" x14ac:dyDescent="0.2">
      <c r="A81" s="226"/>
      <c r="B81" s="259">
        <v>43</v>
      </c>
      <c r="C81" s="260" t="str">
        <f t="shared" si="4"/>
        <v/>
      </c>
      <c r="D81" s="225"/>
      <c r="E81" s="225"/>
      <c r="F81" s="262"/>
      <c r="G81" s="263">
        <f t="shared" si="6"/>
        <v>0</v>
      </c>
      <c r="H81" s="264"/>
      <c r="I81" s="244"/>
      <c r="J81" s="244"/>
      <c r="K81" s="265"/>
      <c r="L81" s="243">
        <f t="shared" si="5"/>
        <v>0</v>
      </c>
      <c r="M81" s="244"/>
      <c r="N81" s="244"/>
      <c r="O81" s="244"/>
      <c r="P81" s="244"/>
      <c r="Q81" s="245"/>
      <c r="R81" s="246"/>
      <c r="S81" s="246"/>
      <c r="T81" s="246"/>
      <c r="U81" s="246"/>
      <c r="V81" s="246"/>
      <c r="W81" s="226"/>
    </row>
    <row r="82" spans="1:23" x14ac:dyDescent="0.2">
      <c r="A82" s="226"/>
      <c r="B82" s="259">
        <v>44</v>
      </c>
      <c r="C82" s="260" t="str">
        <f t="shared" si="4"/>
        <v/>
      </c>
      <c r="D82" s="225"/>
      <c r="E82" s="225"/>
      <c r="F82" s="262"/>
      <c r="G82" s="263">
        <f t="shared" si="6"/>
        <v>0</v>
      </c>
      <c r="H82" s="264"/>
      <c r="I82" s="244"/>
      <c r="J82" s="244"/>
      <c r="K82" s="265"/>
      <c r="L82" s="243">
        <f t="shared" si="5"/>
        <v>0</v>
      </c>
      <c r="M82" s="244"/>
      <c r="N82" s="244"/>
      <c r="O82" s="244"/>
      <c r="P82" s="244"/>
      <c r="Q82" s="245"/>
      <c r="R82" s="246"/>
      <c r="S82" s="246"/>
      <c r="T82" s="246"/>
      <c r="U82" s="246"/>
      <c r="V82" s="246"/>
      <c r="W82" s="226"/>
    </row>
    <row r="83" spans="1:23" x14ac:dyDescent="0.2">
      <c r="A83" s="226"/>
      <c r="B83" s="259">
        <v>45</v>
      </c>
      <c r="C83" s="260" t="str">
        <f t="shared" si="4"/>
        <v/>
      </c>
      <c r="D83" s="266"/>
      <c r="E83" s="266"/>
      <c r="F83" s="267"/>
      <c r="G83" s="263">
        <f t="shared" si="6"/>
        <v>0</v>
      </c>
      <c r="H83" s="268"/>
      <c r="I83" s="269"/>
      <c r="J83" s="269"/>
      <c r="K83" s="270"/>
      <c r="L83" s="243">
        <f t="shared" si="5"/>
        <v>0</v>
      </c>
      <c r="M83" s="269"/>
      <c r="N83" s="269"/>
      <c r="O83" s="269"/>
      <c r="P83" s="269"/>
      <c r="Q83" s="245"/>
      <c r="R83" s="246"/>
      <c r="S83" s="246"/>
      <c r="T83" s="246"/>
      <c r="U83" s="246"/>
      <c r="V83" s="246"/>
      <c r="W83" s="226"/>
    </row>
    <row r="84" spans="1:23" hidden="1" x14ac:dyDescent="0.2">
      <c r="A84" s="226"/>
      <c r="B84" s="226"/>
      <c r="C84" s="226"/>
      <c r="D84" s="226"/>
      <c r="E84" s="226"/>
      <c r="F84" s="226"/>
      <c r="G84" s="226"/>
      <c r="H84" s="226"/>
      <c r="I84" s="226"/>
      <c r="J84" s="226"/>
      <c r="K84" s="226"/>
      <c r="L84" s="226"/>
      <c r="M84" s="226"/>
      <c r="N84" s="226"/>
      <c r="O84" s="226"/>
      <c r="P84" s="226"/>
      <c r="Q84" s="226"/>
      <c r="R84" s="226"/>
      <c r="S84" s="226"/>
      <c r="T84" s="226"/>
      <c r="U84" s="226"/>
      <c r="V84" s="226"/>
      <c r="W84" s="226"/>
    </row>
  </sheetData>
  <sheetProtection sheet="1" objects="1" scenarios="1" formatColumns="0" formatRows="0" selectLockedCells="1"/>
  <mergeCells count="25">
    <mergeCell ref="H37:K37"/>
    <mergeCell ref="L37:V37"/>
    <mergeCell ref="C37:G37"/>
    <mergeCell ref="C20:E20"/>
    <mergeCell ref="C22:E22"/>
    <mergeCell ref="C21:E21"/>
    <mergeCell ref="C30:E30"/>
    <mergeCell ref="C31:E31"/>
    <mergeCell ref="C32:E32"/>
    <mergeCell ref="C23:E23"/>
    <mergeCell ref="B1:D1"/>
    <mergeCell ref="B7:C7"/>
    <mergeCell ref="C14:E14"/>
    <mergeCell ref="B3:K3"/>
    <mergeCell ref="B4:K4"/>
    <mergeCell ref="B5:K5"/>
    <mergeCell ref="K12:U12"/>
    <mergeCell ref="C19:E19"/>
    <mergeCell ref="C25:E25"/>
    <mergeCell ref="G12:J12"/>
    <mergeCell ref="C17:E17"/>
    <mergeCell ref="C18:E18"/>
    <mergeCell ref="C24:E24"/>
    <mergeCell ref="C15:E15"/>
    <mergeCell ref="C16:E16"/>
  </mergeCells>
  <dataValidations count="2">
    <dataValidation type="list" allowBlank="1" showInputMessage="1" showErrorMessage="1" sqref="F39:F83" xr:uid="{00000000-0002-0000-0400-000000000000}">
      <formula1>CSS_Service_Category</formula1>
    </dataValidation>
    <dataValidation type="decimal" operator="greaterThanOrEqual" allowBlank="1" showInputMessage="1" showErrorMessage="1" errorTitle="Enter positive amount" error="Report CSS transfers as a number greater than or equal to zero. " sqref="L20:U22" xr:uid="{00000000-0002-0000-0400-000001000000}">
      <formula1>0</formula1>
    </dataValidation>
  </dataValidations>
  <hyperlinks>
    <hyperlink ref="B1" location="'2. Summary'!A1" display="Back to Summary" xr:uid="{00000000-0004-0000-0400-000000000000}"/>
    <hyperlink ref="B1:D1" location="'2. Component Summary'!A1" display="Back to Summary" xr:uid="{00000000-0004-0000-0400-000001000000}"/>
  </hyperlinks>
  <pageMargins left="0.25" right="0.25" top="0.75" bottom="0.75" header="0.3" footer="0.3"/>
  <pageSetup paperSize="17" scale="48" fitToHeight="0" orientation="landscape" r:id="rId1"/>
  <headerFooter>
    <oddHeader xml:space="preserve">&amp;C&amp;"Arial,Regular"&amp;16Annual Mental Health Services Act Revenue and Expenditure Report for                  
Fiscal Year 2016-17     
Community Services and Supports (CSS) Summary       
</oddHeader>
    <oddFooter>&amp;C&amp;"Arial,Regular"&amp;16Page &amp;P of &amp;N</oddFooter>
  </headerFooter>
  <colBreaks count="1" manualBreakCount="1">
    <brk id="23" min="4" max="73"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autoPageBreaks="0" fitToPage="1"/>
  </sheetPr>
  <dimension ref="A1:AA67"/>
  <sheetViews>
    <sheetView showGridLines="0" topLeftCell="D1" zoomScale="70" zoomScaleNormal="70" zoomScaleSheetLayoutView="40" zoomScalePageLayoutView="80" workbookViewId="0">
      <selection activeCell="H41" sqref="H41"/>
    </sheetView>
  </sheetViews>
  <sheetFormatPr defaultColWidth="0" defaultRowHeight="15" zeroHeight="1" x14ac:dyDescent="0.2"/>
  <cols>
    <col min="1" max="1" width="2.7109375" style="226" customWidth="1"/>
    <col min="2" max="2" width="6.7109375" style="226" customWidth="1"/>
    <col min="3" max="3" width="15.28515625" style="292" customWidth="1"/>
    <col min="4" max="4" width="60.7109375" style="226" customWidth="1"/>
    <col min="5" max="5" width="32.7109375" style="226" customWidth="1"/>
    <col min="6" max="7" width="26" style="226" bestFit="1" customWidth="1"/>
    <col min="8" max="8" width="20.7109375" style="226" bestFit="1" customWidth="1"/>
    <col min="9" max="9" width="20" style="226" bestFit="1" customWidth="1"/>
    <col min="10" max="10" width="23" style="226" customWidth="1"/>
    <col min="11" max="12" width="17.7109375" style="226" customWidth="1"/>
    <col min="13" max="13" width="23.140625" style="226" customWidth="1"/>
    <col min="14" max="14" width="16.7109375" style="226" customWidth="1"/>
    <col min="15" max="27" width="15" style="226" customWidth="1"/>
    <col min="28" max="16384" width="9.140625" style="226" hidden="1"/>
  </cols>
  <sheetData>
    <row r="1" spans="2:24" x14ac:dyDescent="0.2">
      <c r="B1" s="163" t="s">
        <v>229</v>
      </c>
      <c r="C1" s="163"/>
      <c r="D1" s="163"/>
    </row>
    <row r="2" spans="2:24" x14ac:dyDescent="0.2">
      <c r="B2" s="208"/>
      <c r="C2" s="208"/>
      <c r="D2" s="164"/>
    </row>
    <row r="3" spans="2:24" ht="18" x14ac:dyDescent="0.2">
      <c r="B3" s="343" t="s">
        <v>267</v>
      </c>
      <c r="C3" s="165"/>
      <c r="D3" s="165"/>
      <c r="E3" s="165"/>
      <c r="F3" s="165"/>
      <c r="G3" s="165"/>
      <c r="H3" s="165"/>
      <c r="I3" s="165"/>
      <c r="J3" s="165"/>
      <c r="K3" s="165"/>
      <c r="L3" s="166"/>
      <c r="M3" s="1"/>
      <c r="N3" s="1"/>
      <c r="O3" s="1"/>
      <c r="P3" s="1"/>
      <c r="Q3" s="1"/>
      <c r="R3" s="1"/>
      <c r="S3" s="1"/>
      <c r="T3" s="1"/>
      <c r="U3" s="1"/>
      <c r="V3" s="1"/>
      <c r="W3" s="1"/>
      <c r="X3" s="1"/>
    </row>
    <row r="4" spans="2:24" ht="18" x14ac:dyDescent="0.2">
      <c r="B4" s="343" t="s">
        <v>0</v>
      </c>
      <c r="C4" s="165"/>
      <c r="D4" s="165"/>
      <c r="E4" s="165"/>
      <c r="F4" s="165"/>
      <c r="G4" s="165"/>
      <c r="H4" s="165"/>
      <c r="I4" s="165"/>
      <c r="J4" s="165"/>
      <c r="K4" s="165"/>
      <c r="L4" s="166"/>
      <c r="M4" s="1"/>
      <c r="N4" s="1"/>
      <c r="O4" s="1"/>
      <c r="P4" s="1"/>
      <c r="Q4" s="1"/>
      <c r="R4" s="1"/>
      <c r="S4" s="1"/>
      <c r="T4" s="1"/>
      <c r="U4" s="1"/>
      <c r="V4" s="1"/>
      <c r="W4" s="1"/>
      <c r="X4" s="1"/>
    </row>
    <row r="5" spans="2:24" ht="18" x14ac:dyDescent="0.2">
      <c r="B5" s="343" t="s">
        <v>1</v>
      </c>
      <c r="C5" s="165"/>
      <c r="D5" s="165"/>
      <c r="E5" s="165"/>
      <c r="F5" s="165"/>
      <c r="G5" s="165"/>
      <c r="H5" s="165"/>
      <c r="I5" s="165"/>
      <c r="J5" s="165"/>
      <c r="K5" s="165"/>
      <c r="L5" s="166"/>
      <c r="M5" s="1"/>
      <c r="N5" s="1"/>
      <c r="O5" s="1"/>
      <c r="P5" s="1"/>
      <c r="Q5" s="1"/>
      <c r="R5" s="1"/>
      <c r="S5" s="1"/>
      <c r="T5" s="1"/>
      <c r="U5" s="1"/>
      <c r="V5" s="1"/>
      <c r="W5" s="1"/>
      <c r="X5" s="1"/>
    </row>
    <row r="6" spans="2:24" ht="15.75" x14ac:dyDescent="0.2">
      <c r="B6" s="166"/>
      <c r="C6" s="166"/>
      <c r="D6" s="166"/>
      <c r="E6" s="166"/>
      <c r="F6" s="166"/>
      <c r="G6" s="166"/>
      <c r="H6" s="166"/>
      <c r="I6" s="166"/>
      <c r="J6" s="166"/>
      <c r="K6" s="166"/>
      <c r="L6" s="166"/>
      <c r="M6" s="1"/>
      <c r="N6" s="1"/>
      <c r="O6" s="1"/>
      <c r="P6" s="1"/>
      <c r="Q6" s="1"/>
      <c r="R6" s="1"/>
      <c r="S6" s="1"/>
      <c r="T6" s="1"/>
      <c r="U6" s="1"/>
      <c r="V6" s="1"/>
      <c r="W6" s="1"/>
      <c r="X6" s="1"/>
    </row>
    <row r="7" spans="2:24" ht="15.75" customHeight="1" x14ac:dyDescent="0.25">
      <c r="B7" s="429" t="s">
        <v>2</v>
      </c>
      <c r="C7" s="402"/>
      <c r="D7" s="54" t="str">
        <f>IF(ISBLANK('1. Information'!D6),"",'1. Information'!D6)</f>
        <v>Shasta</v>
      </c>
      <c r="F7" s="204" t="s">
        <v>3</v>
      </c>
      <c r="G7" s="227">
        <f ca="1">IF(ISBLANK('1. Information'!D5),"",'1. Information'!D5)</f>
        <v>44144.476150462964</v>
      </c>
      <c r="J7" s="228"/>
      <c r="K7" s="228"/>
      <c r="L7" s="228"/>
      <c r="M7" s="228"/>
      <c r="N7" s="228"/>
      <c r="O7" s="228"/>
      <c r="P7" s="228"/>
      <c r="Q7" s="228"/>
      <c r="R7" s="228"/>
      <c r="S7" s="228"/>
      <c r="T7" s="228"/>
      <c r="U7" s="228"/>
      <c r="V7" s="228"/>
      <c r="W7" s="228"/>
    </row>
    <row r="8" spans="2:24" ht="15.75" x14ac:dyDescent="0.25">
      <c r="C8" s="15"/>
      <c r="D8" s="15"/>
      <c r="E8" s="15"/>
      <c r="F8" s="15"/>
      <c r="G8" s="7"/>
      <c r="H8" s="62"/>
      <c r="I8" s="15"/>
      <c r="J8" s="229"/>
      <c r="K8" s="228"/>
      <c r="L8" s="228"/>
      <c r="M8" s="228"/>
      <c r="N8" s="228"/>
      <c r="O8" s="228"/>
      <c r="P8" s="228"/>
      <c r="Q8" s="228"/>
      <c r="R8" s="228"/>
      <c r="S8" s="228"/>
      <c r="T8" s="228"/>
      <c r="U8" s="228"/>
      <c r="V8" s="228"/>
      <c r="W8" s="228"/>
      <c r="X8" s="228"/>
    </row>
    <row r="9" spans="2:24" ht="18.75" thickBot="1" x14ac:dyDescent="0.3">
      <c r="B9" s="341" t="s">
        <v>280</v>
      </c>
      <c r="C9" s="230"/>
      <c r="D9" s="105"/>
      <c r="E9" s="105"/>
      <c r="F9" s="105"/>
      <c r="G9" s="140"/>
      <c r="H9" s="167"/>
      <c r="I9" s="105"/>
      <c r="J9" s="231"/>
      <c r="K9" s="232"/>
      <c r="L9" s="232"/>
      <c r="M9" s="232"/>
      <c r="N9" s="232"/>
      <c r="O9" s="232"/>
      <c r="P9" s="232"/>
      <c r="Q9" s="232"/>
      <c r="R9" s="232"/>
      <c r="S9" s="232"/>
      <c r="T9" s="232"/>
      <c r="U9" s="232"/>
      <c r="V9" s="228"/>
    </row>
    <row r="10" spans="2:24" ht="16.5" thickTop="1" x14ac:dyDescent="0.25">
      <c r="C10" s="7"/>
      <c r="D10" s="15"/>
      <c r="E10" s="15"/>
      <c r="F10" s="15"/>
      <c r="G10" s="7"/>
      <c r="H10" s="62"/>
      <c r="I10" s="15"/>
      <c r="J10" s="229"/>
      <c r="K10" s="228"/>
      <c r="L10" s="228"/>
      <c r="M10" s="228"/>
      <c r="N10" s="228"/>
      <c r="O10" s="228"/>
      <c r="P10" s="228"/>
      <c r="Q10" s="228"/>
      <c r="R10" s="228"/>
      <c r="S10" s="228"/>
      <c r="T10" s="228"/>
      <c r="U10" s="228"/>
      <c r="V10" s="228"/>
    </row>
    <row r="11" spans="2:24" ht="15.75" x14ac:dyDescent="0.25">
      <c r="C11" s="7"/>
      <c r="D11" s="15"/>
      <c r="E11" s="15"/>
      <c r="F11" s="124" t="s">
        <v>59</v>
      </c>
      <c r="G11" s="141" t="s">
        <v>61</v>
      </c>
      <c r="H11" s="72" t="s">
        <v>65</v>
      </c>
      <c r="I11" s="72" t="s">
        <v>245</v>
      </c>
      <c r="J11" s="124" t="s">
        <v>246</v>
      </c>
      <c r="K11" s="256" t="s">
        <v>247</v>
      </c>
      <c r="L11" s="251" t="s">
        <v>256</v>
      </c>
      <c r="M11" s="251" t="s">
        <v>248</v>
      </c>
      <c r="N11" s="251" t="s">
        <v>249</v>
      </c>
      <c r="O11" s="251" t="s">
        <v>250</v>
      </c>
      <c r="P11" s="251" t="s">
        <v>251</v>
      </c>
      <c r="Q11" s="251" t="s">
        <v>252</v>
      </c>
      <c r="R11" s="251" t="s">
        <v>253</v>
      </c>
      <c r="S11" s="251" t="s">
        <v>254</v>
      </c>
      <c r="T11" s="251" t="s">
        <v>255</v>
      </c>
      <c r="U11" s="251" t="s">
        <v>257</v>
      </c>
      <c r="V11" s="168"/>
    </row>
    <row r="12" spans="2:24" ht="15.75" x14ac:dyDescent="0.25">
      <c r="C12" s="226"/>
      <c r="D12" s="15"/>
      <c r="E12" s="15"/>
      <c r="F12" s="207"/>
      <c r="G12" s="402" t="s">
        <v>62</v>
      </c>
      <c r="H12" s="397"/>
      <c r="I12" s="397"/>
      <c r="J12" s="403"/>
      <c r="K12" s="422" t="s">
        <v>60</v>
      </c>
      <c r="L12" s="422"/>
      <c r="M12" s="422"/>
      <c r="N12" s="422"/>
      <c r="O12" s="422"/>
      <c r="P12" s="422"/>
      <c r="Q12" s="422"/>
      <c r="R12" s="422"/>
      <c r="S12" s="422"/>
      <c r="T12" s="422"/>
      <c r="U12" s="408"/>
      <c r="V12" s="168"/>
    </row>
    <row r="13" spans="2:24" ht="47.25" customHeight="1" x14ac:dyDescent="0.2">
      <c r="C13" s="433"/>
      <c r="D13" s="433"/>
      <c r="E13" s="433"/>
      <c r="F13" s="126" t="s">
        <v>192</v>
      </c>
      <c r="G13" s="112" t="s">
        <v>7</v>
      </c>
      <c r="H13" s="75" t="s">
        <v>8</v>
      </c>
      <c r="I13" s="75" t="s">
        <v>63</v>
      </c>
      <c r="J13" s="118" t="s">
        <v>10</v>
      </c>
      <c r="K13" s="127" t="s">
        <v>283</v>
      </c>
      <c r="L13" s="75" t="s">
        <v>190</v>
      </c>
      <c r="M13" s="79" t="s">
        <v>11</v>
      </c>
      <c r="N13" s="79" t="s">
        <v>12</v>
      </c>
      <c r="O13" s="80" t="s">
        <v>13</v>
      </c>
      <c r="P13" s="143" t="s">
        <v>14</v>
      </c>
      <c r="Q13" s="143" t="s">
        <v>15</v>
      </c>
      <c r="R13" s="144" t="s">
        <v>107</v>
      </c>
      <c r="S13" s="144" t="s">
        <v>108</v>
      </c>
      <c r="T13" s="144" t="s">
        <v>109</v>
      </c>
      <c r="U13" s="144" t="s">
        <v>110</v>
      </c>
    </row>
    <row r="14" spans="2:24" s="228" customFormat="1" ht="15.75" x14ac:dyDescent="0.25">
      <c r="B14" s="251">
        <v>1</v>
      </c>
      <c r="C14" s="404" t="s">
        <v>4</v>
      </c>
      <c r="D14" s="404"/>
      <c r="E14" s="404"/>
      <c r="F14" s="239">
        <f t="shared" ref="F14:F20" si="0">SUM(G14:J14,K14)</f>
        <v>0</v>
      </c>
      <c r="G14" s="247"/>
      <c r="H14" s="241"/>
      <c r="I14" s="241"/>
      <c r="J14" s="242"/>
      <c r="K14" s="243">
        <f t="shared" ref="K14:K19" si="1">SUM(L14,M14:U14)</f>
        <v>0</v>
      </c>
      <c r="L14" s="241"/>
      <c r="M14" s="241"/>
      <c r="N14" s="241"/>
      <c r="O14" s="241"/>
      <c r="P14" s="245"/>
      <c r="Q14" s="246"/>
      <c r="R14" s="246"/>
      <c r="S14" s="246"/>
      <c r="T14" s="246"/>
      <c r="U14" s="246"/>
    </row>
    <row r="15" spans="2:24" s="228" customFormat="1" ht="15" customHeight="1" x14ac:dyDescent="0.25">
      <c r="B15" s="251">
        <v>2</v>
      </c>
      <c r="C15" s="404" t="s">
        <v>111</v>
      </c>
      <c r="D15" s="404"/>
      <c r="E15" s="404"/>
      <c r="F15" s="239">
        <f t="shared" si="0"/>
        <v>0</v>
      </c>
      <c r="G15" s="247"/>
      <c r="H15" s="241"/>
      <c r="I15" s="241"/>
      <c r="J15" s="242"/>
      <c r="K15" s="243">
        <f t="shared" si="1"/>
        <v>0</v>
      </c>
      <c r="L15" s="241"/>
      <c r="M15" s="241"/>
      <c r="N15" s="241"/>
      <c r="O15" s="241"/>
      <c r="P15" s="245"/>
      <c r="Q15" s="246"/>
      <c r="R15" s="246"/>
      <c r="S15" s="246"/>
      <c r="T15" s="246"/>
      <c r="U15" s="246"/>
    </row>
    <row r="16" spans="2:24" s="228" customFormat="1" ht="15" customHeight="1" x14ac:dyDescent="0.25">
      <c r="B16" s="251">
        <v>3</v>
      </c>
      <c r="C16" s="434" t="s">
        <v>133</v>
      </c>
      <c r="D16" s="434"/>
      <c r="E16" s="434"/>
      <c r="F16" s="239">
        <f t="shared" si="0"/>
        <v>136966</v>
      </c>
      <c r="G16" s="247">
        <v>5332</v>
      </c>
      <c r="H16" s="241"/>
      <c r="I16" s="241"/>
      <c r="J16" s="242"/>
      <c r="K16" s="243">
        <f t="shared" si="1"/>
        <v>131634</v>
      </c>
      <c r="L16" s="241">
        <v>3511</v>
      </c>
      <c r="M16" s="273">
        <v>-319105</v>
      </c>
      <c r="N16" s="273">
        <v>197714</v>
      </c>
      <c r="O16" s="273">
        <v>249514</v>
      </c>
      <c r="P16" s="245"/>
      <c r="Q16" s="246"/>
      <c r="R16" s="274"/>
      <c r="S16" s="274"/>
      <c r="T16" s="274"/>
      <c r="U16" s="274"/>
    </row>
    <row r="17" spans="2:27" s="228" customFormat="1" ht="15" customHeight="1" x14ac:dyDescent="0.25">
      <c r="B17" s="251">
        <v>4</v>
      </c>
      <c r="C17" s="404" t="s">
        <v>221</v>
      </c>
      <c r="D17" s="404"/>
      <c r="E17" s="404"/>
      <c r="F17" s="239">
        <f t="shared" si="0"/>
        <v>0</v>
      </c>
      <c r="G17" s="247"/>
      <c r="H17" s="241"/>
      <c r="I17" s="241"/>
      <c r="J17" s="242"/>
      <c r="K17" s="243">
        <f t="shared" si="1"/>
        <v>0</v>
      </c>
      <c r="L17" s="275"/>
      <c r="M17" s="246"/>
      <c r="N17" s="246"/>
      <c r="O17" s="246"/>
      <c r="P17" s="245"/>
      <c r="Q17" s="252"/>
      <c r="R17" s="241"/>
      <c r="S17" s="241"/>
      <c r="T17" s="241"/>
      <c r="U17" s="241"/>
    </row>
    <row r="18" spans="2:27" s="228" customFormat="1" ht="15" customHeight="1" x14ac:dyDescent="0.25">
      <c r="B18" s="251">
        <v>5</v>
      </c>
      <c r="C18" s="404" t="s">
        <v>204</v>
      </c>
      <c r="D18" s="404"/>
      <c r="E18" s="404"/>
      <c r="F18" s="239">
        <f t="shared" si="0"/>
        <v>0</v>
      </c>
      <c r="G18" s="276"/>
      <c r="H18" s="277"/>
      <c r="I18" s="277"/>
      <c r="J18" s="278"/>
      <c r="K18" s="243">
        <f t="shared" si="1"/>
        <v>0</v>
      </c>
      <c r="L18" s="241"/>
      <c r="M18" s="279"/>
      <c r="N18" s="279"/>
      <c r="O18" s="279"/>
      <c r="P18" s="245"/>
      <c r="Q18" s="246"/>
      <c r="R18" s="249"/>
      <c r="S18" s="249"/>
      <c r="T18" s="249"/>
      <c r="U18" s="249"/>
    </row>
    <row r="19" spans="2:27" s="228" customFormat="1" ht="15" customHeight="1" x14ac:dyDescent="0.25">
      <c r="B19" s="251">
        <v>6</v>
      </c>
      <c r="C19" s="404" t="s">
        <v>208</v>
      </c>
      <c r="D19" s="404"/>
      <c r="E19" s="404"/>
      <c r="F19" s="239">
        <f t="shared" si="0"/>
        <v>0</v>
      </c>
      <c r="G19" s="247"/>
      <c r="H19" s="241"/>
      <c r="I19" s="241"/>
      <c r="J19" s="242"/>
      <c r="K19" s="243">
        <f t="shared" si="1"/>
        <v>0</v>
      </c>
      <c r="L19" s="241"/>
      <c r="M19" s="241"/>
      <c r="N19" s="241"/>
      <c r="O19" s="241"/>
      <c r="P19" s="245"/>
      <c r="Q19" s="246"/>
      <c r="R19" s="246"/>
      <c r="S19" s="246"/>
      <c r="T19" s="246"/>
      <c r="U19" s="246"/>
    </row>
    <row r="20" spans="2:27" s="228" customFormat="1" ht="15" customHeight="1" x14ac:dyDescent="0.25">
      <c r="B20" s="251">
        <v>7</v>
      </c>
      <c r="C20" s="400" t="s">
        <v>134</v>
      </c>
      <c r="D20" s="400"/>
      <c r="E20" s="400"/>
      <c r="F20" s="239">
        <f t="shared" si="0"/>
        <v>2068828</v>
      </c>
      <c r="G20" s="248">
        <f t="shared" ref="G20:U20" si="2">SUMIF($G$37:$G$66,"Combined Summary",M$37:M$66) + SUMIF($F$37:$F$66,"Standalone",M$37:M$66)</f>
        <v>30255</v>
      </c>
      <c r="H20" s="249">
        <f t="shared" si="2"/>
        <v>0</v>
      </c>
      <c r="I20" s="249">
        <f t="shared" si="2"/>
        <v>0</v>
      </c>
      <c r="J20" s="250">
        <f t="shared" si="2"/>
        <v>0</v>
      </c>
      <c r="K20" s="245">
        <f t="shared" si="2"/>
        <v>2038573</v>
      </c>
      <c r="L20" s="249">
        <f t="shared" si="2"/>
        <v>19925</v>
      </c>
      <c r="M20" s="249">
        <f t="shared" si="2"/>
        <v>-518849</v>
      </c>
      <c r="N20" s="249">
        <f t="shared" si="2"/>
        <v>1121796</v>
      </c>
      <c r="O20" s="249">
        <f t="shared" si="2"/>
        <v>1415701</v>
      </c>
      <c r="P20" s="246">
        <f t="shared" si="2"/>
        <v>0</v>
      </c>
      <c r="Q20" s="246">
        <f t="shared" si="2"/>
        <v>0</v>
      </c>
      <c r="R20" s="246">
        <f t="shared" si="2"/>
        <v>0</v>
      </c>
      <c r="S20" s="246">
        <f t="shared" si="2"/>
        <v>0</v>
      </c>
      <c r="T20" s="246">
        <f t="shared" si="2"/>
        <v>0</v>
      </c>
      <c r="U20" s="246">
        <f t="shared" si="2"/>
        <v>0</v>
      </c>
    </row>
    <row r="21" spans="2:27" s="228" customFormat="1" ht="30.95" customHeight="1" x14ac:dyDescent="0.25">
      <c r="B21" s="251">
        <v>8</v>
      </c>
      <c r="C21" s="435" t="s">
        <v>222</v>
      </c>
      <c r="D21" s="435"/>
      <c r="E21" s="435"/>
      <c r="F21" s="109">
        <f t="shared" ref="F21:U21" si="3">SUM(F14:F16,F19:F20)</f>
        <v>2205794</v>
      </c>
      <c r="G21" s="108">
        <f t="shared" si="3"/>
        <v>35587</v>
      </c>
      <c r="H21" s="52">
        <f t="shared" si="3"/>
        <v>0</v>
      </c>
      <c r="I21" s="52">
        <f t="shared" si="3"/>
        <v>0</v>
      </c>
      <c r="J21" s="110">
        <f t="shared" si="3"/>
        <v>0</v>
      </c>
      <c r="K21" s="108">
        <f t="shared" si="3"/>
        <v>2170207</v>
      </c>
      <c r="L21" s="52">
        <f t="shared" si="3"/>
        <v>23436</v>
      </c>
      <c r="M21" s="52">
        <f t="shared" si="3"/>
        <v>-837954</v>
      </c>
      <c r="N21" s="52">
        <f t="shared" si="3"/>
        <v>1319510</v>
      </c>
      <c r="O21" s="52">
        <f t="shared" si="3"/>
        <v>1665215</v>
      </c>
      <c r="P21" s="52">
        <f t="shared" si="3"/>
        <v>0</v>
      </c>
      <c r="Q21" s="52">
        <f t="shared" si="3"/>
        <v>0</v>
      </c>
      <c r="R21" s="52">
        <f t="shared" si="3"/>
        <v>0</v>
      </c>
      <c r="S21" s="52">
        <f t="shared" si="3"/>
        <v>0</v>
      </c>
      <c r="T21" s="52">
        <f t="shared" si="3"/>
        <v>0</v>
      </c>
      <c r="U21" s="52">
        <f t="shared" si="3"/>
        <v>0</v>
      </c>
    </row>
    <row r="22" spans="2:27" s="228" customFormat="1" ht="30.95" customHeight="1" x14ac:dyDescent="0.25">
      <c r="B22" s="251">
        <v>9</v>
      </c>
      <c r="C22" s="435" t="s">
        <v>194</v>
      </c>
      <c r="D22" s="435"/>
      <c r="E22" s="435"/>
      <c r="F22" s="109"/>
      <c r="G22" s="108"/>
      <c r="H22" s="52"/>
      <c r="I22" s="52"/>
      <c r="J22" s="110"/>
      <c r="K22" s="108">
        <f>SUM(L22,M22:U22)</f>
        <v>4685472</v>
      </c>
      <c r="L22" s="52">
        <f>'2. Component Summary'!E27+'2. Component Summary'!E32</f>
        <v>36159</v>
      </c>
      <c r="M22" s="52">
        <f>'2. Component Summary'!E30+'2. Component Summary'!E31</f>
        <v>1664589</v>
      </c>
      <c r="N22" s="52">
        <f>'2. Component Summary'!E26</f>
        <v>1319510</v>
      </c>
      <c r="O22" s="52">
        <f>'2. Component Summary'!E25</f>
        <v>1665214</v>
      </c>
      <c r="P22" s="52">
        <f>'2. Component Summary'!E24</f>
        <v>0</v>
      </c>
      <c r="Q22" s="52">
        <f>'2. Component Summary'!E23</f>
        <v>0</v>
      </c>
      <c r="R22" s="52">
        <f>'2. Component Summary'!E22</f>
        <v>0</v>
      </c>
      <c r="S22" s="52">
        <f>'2. Component Summary'!E21</f>
        <v>0</v>
      </c>
      <c r="T22" s="52">
        <f>'2. Component Summary'!E20</f>
        <v>0</v>
      </c>
      <c r="U22" s="52">
        <f>'2. Component Summary'!E19</f>
        <v>0</v>
      </c>
    </row>
    <row r="23" spans="2:27" ht="15.75" x14ac:dyDescent="0.25">
      <c r="C23" s="226"/>
      <c r="D23" s="7"/>
      <c r="E23" s="7"/>
      <c r="F23" s="7"/>
      <c r="G23" s="169"/>
      <c r="H23" s="7"/>
      <c r="I23" s="228"/>
      <c r="J23" s="228"/>
      <c r="K23" s="228"/>
      <c r="L23" s="228"/>
      <c r="M23" s="228"/>
      <c r="N23" s="228"/>
      <c r="O23" s="228"/>
      <c r="P23" s="228"/>
      <c r="Q23" s="228"/>
      <c r="R23" s="228"/>
      <c r="S23" s="228"/>
      <c r="T23" s="228"/>
      <c r="U23" s="280"/>
      <c r="V23" s="228"/>
      <c r="W23" s="228"/>
    </row>
    <row r="24" spans="2:27" ht="18.75" thickBot="1" x14ac:dyDescent="0.3">
      <c r="B24" s="341" t="s">
        <v>281</v>
      </c>
      <c r="C24" s="140"/>
      <c r="D24" s="140"/>
      <c r="E24" s="140"/>
      <c r="F24" s="170"/>
      <c r="G24" s="140"/>
      <c r="H24" s="232"/>
      <c r="I24" s="232"/>
      <c r="J24" s="232"/>
      <c r="K24" s="232"/>
      <c r="L24" s="232"/>
      <c r="M24" s="232"/>
      <c r="N24" s="232"/>
      <c r="O24" s="232"/>
      <c r="P24" s="232"/>
      <c r="Q24" s="232"/>
      <c r="R24" s="232"/>
      <c r="S24" s="232"/>
      <c r="T24" s="281"/>
      <c r="U24" s="281"/>
      <c r="V24" s="228"/>
    </row>
    <row r="25" spans="2:27" ht="16.5" thickTop="1" x14ac:dyDescent="0.25">
      <c r="C25" s="7"/>
      <c r="D25" s="7"/>
      <c r="E25" s="7"/>
      <c r="F25" s="7"/>
      <c r="G25" s="169"/>
      <c r="H25" s="7"/>
      <c r="I25" s="228"/>
      <c r="J25" s="228"/>
      <c r="K25" s="228"/>
      <c r="L25" s="228"/>
      <c r="M25" s="228"/>
      <c r="N25" s="228"/>
      <c r="O25" s="228"/>
      <c r="P25" s="228"/>
      <c r="Q25" s="228"/>
      <c r="R25" s="228"/>
      <c r="S25" s="228"/>
      <c r="T25" s="228"/>
      <c r="U25" s="280"/>
      <c r="V25" s="280"/>
      <c r="W25" s="228"/>
      <c r="X25" s="228"/>
      <c r="Y25" s="228"/>
    </row>
    <row r="26" spans="2:27" ht="15.75" x14ac:dyDescent="0.25">
      <c r="C26" s="7"/>
      <c r="D26" s="7"/>
      <c r="E26" s="7"/>
      <c r="F26" s="72" t="s">
        <v>59</v>
      </c>
      <c r="G26" s="171" t="s">
        <v>61</v>
      </c>
      <c r="H26" s="7"/>
      <c r="I26" s="228"/>
      <c r="J26" s="228"/>
      <c r="K26" s="228"/>
      <c r="L26" s="228"/>
      <c r="M26" s="228"/>
      <c r="N26" s="228"/>
      <c r="O26" s="228"/>
      <c r="P26" s="228"/>
      <c r="Q26" s="228"/>
      <c r="R26" s="228"/>
      <c r="S26" s="228"/>
      <c r="T26" s="228"/>
      <c r="U26" s="280"/>
      <c r="V26" s="280"/>
      <c r="W26" s="228"/>
      <c r="X26" s="228"/>
      <c r="Y26" s="228"/>
    </row>
    <row r="27" spans="2:27" ht="15" customHeight="1" x14ac:dyDescent="0.2">
      <c r="B27" s="216"/>
      <c r="C27" s="216"/>
      <c r="D27" s="216"/>
      <c r="E27" s="216"/>
      <c r="F27" s="428" t="s">
        <v>228</v>
      </c>
      <c r="G27" s="426" t="s">
        <v>227</v>
      </c>
      <c r="H27" s="228"/>
      <c r="I27" s="228"/>
      <c r="J27" s="228"/>
      <c r="K27" s="228"/>
      <c r="L27" s="228"/>
      <c r="M27" s="228"/>
      <c r="N27" s="228"/>
      <c r="O27" s="228"/>
      <c r="P27" s="228"/>
      <c r="Q27" s="228"/>
      <c r="R27" s="228"/>
      <c r="S27" s="228"/>
      <c r="T27" s="280"/>
      <c r="U27" s="280"/>
      <c r="V27" s="228"/>
      <c r="W27" s="228"/>
      <c r="X27" s="228"/>
    </row>
    <row r="28" spans="2:27" ht="15" customHeight="1" x14ac:dyDescent="0.2">
      <c r="B28" s="216"/>
      <c r="C28" s="216"/>
      <c r="D28" s="216"/>
      <c r="E28" s="216"/>
      <c r="F28" s="428"/>
      <c r="G28" s="426"/>
      <c r="H28" s="228"/>
      <c r="I28" s="228"/>
      <c r="J28" s="228"/>
      <c r="K28" s="228"/>
      <c r="L28" s="228"/>
      <c r="M28" s="228"/>
      <c r="N28" s="228"/>
      <c r="O28" s="228"/>
      <c r="P28" s="228"/>
      <c r="Q28" s="228"/>
      <c r="R28" s="228"/>
      <c r="S28" s="228"/>
      <c r="T28" s="280"/>
      <c r="U28" s="280"/>
      <c r="V28" s="228"/>
      <c r="W28" s="228"/>
      <c r="X28" s="228"/>
    </row>
    <row r="29" spans="2:27" x14ac:dyDescent="0.2">
      <c r="B29" s="216"/>
      <c r="C29" s="216"/>
      <c r="D29" s="216"/>
      <c r="E29" s="216"/>
      <c r="F29" s="428"/>
      <c r="G29" s="427"/>
      <c r="H29" s="228"/>
      <c r="I29" s="228"/>
      <c r="J29" s="228"/>
      <c r="K29" s="228"/>
      <c r="L29" s="228"/>
      <c r="M29" s="228"/>
      <c r="N29" s="228"/>
      <c r="O29" s="228"/>
      <c r="P29" s="228"/>
      <c r="Q29" s="228"/>
      <c r="R29" s="228"/>
      <c r="S29" s="228"/>
      <c r="T29" s="280"/>
      <c r="U29" s="282"/>
      <c r="V29" s="283"/>
      <c r="W29" s="228"/>
      <c r="X29" s="228"/>
    </row>
    <row r="30" spans="2:27" ht="51.75" customHeight="1" x14ac:dyDescent="0.25">
      <c r="B30" s="284">
        <v>1</v>
      </c>
      <c r="C30" s="423" t="s">
        <v>244</v>
      </c>
      <c r="D30" s="424"/>
      <c r="E30" s="425"/>
      <c r="F30" s="55">
        <f>IF(K21=0,"",((SUMPRODUCT($K$37:$K$66,$Q$37:$Q$66)+(K19*G30))/$K$21))</f>
        <v>0.41635225856335362</v>
      </c>
      <c r="G30" s="180"/>
      <c r="H30" s="228"/>
      <c r="I30" s="228"/>
      <c r="J30" s="228"/>
      <c r="K30" s="228"/>
      <c r="L30" s="228"/>
      <c r="M30" s="228"/>
      <c r="N30" s="228"/>
      <c r="O30" s="228"/>
      <c r="P30" s="228"/>
      <c r="Q30" s="228"/>
      <c r="R30" s="228"/>
      <c r="S30" s="228"/>
      <c r="T30" s="280"/>
      <c r="U30" s="280"/>
      <c r="V30" s="228"/>
      <c r="W30" s="228"/>
      <c r="X30" s="228"/>
    </row>
    <row r="31" spans="2:27" s="216" customFormat="1" x14ac:dyDescent="0.2"/>
    <row r="32" spans="2:27" ht="18.75" thickBot="1" x14ac:dyDescent="0.3">
      <c r="B32" s="341" t="s">
        <v>282</v>
      </c>
      <c r="C32" s="172"/>
      <c r="D32" s="172"/>
      <c r="E32" s="172"/>
      <c r="F32" s="173"/>
      <c r="G32" s="140"/>
      <c r="H32" s="232"/>
      <c r="I32" s="232"/>
      <c r="J32" s="232"/>
      <c r="K32" s="232"/>
      <c r="L32" s="232"/>
      <c r="M32" s="232"/>
      <c r="N32" s="232"/>
      <c r="O32" s="232"/>
      <c r="P32" s="232"/>
      <c r="Q32" s="232"/>
      <c r="R32" s="232"/>
      <c r="S32" s="232"/>
      <c r="T32" s="281"/>
      <c r="U32" s="281"/>
      <c r="V32" s="232"/>
      <c r="W32" s="232"/>
      <c r="X32" s="232"/>
      <c r="Y32" s="230"/>
      <c r="Z32" s="230"/>
      <c r="AA32" s="230"/>
    </row>
    <row r="33" spans="2:27" ht="16.5" thickTop="1" x14ac:dyDescent="0.25">
      <c r="C33" s="7"/>
      <c r="D33" s="9"/>
      <c r="E33" s="9"/>
      <c r="F33" s="9"/>
      <c r="G33" s="174"/>
      <c r="H33" s="7"/>
      <c r="I33" s="228"/>
      <c r="J33" s="228"/>
      <c r="K33" s="228"/>
      <c r="L33" s="228"/>
      <c r="M33" s="228"/>
      <c r="N33" s="228"/>
      <c r="O33" s="228"/>
      <c r="P33" s="228"/>
      <c r="Q33" s="228"/>
      <c r="R33" s="228"/>
      <c r="S33" s="228"/>
      <c r="T33" s="228"/>
      <c r="U33" s="280"/>
      <c r="V33" s="280"/>
      <c r="W33" s="228"/>
      <c r="X33" s="228"/>
      <c r="Y33" s="228"/>
    </row>
    <row r="34" spans="2:27" x14ac:dyDescent="0.2">
      <c r="C34" s="73" t="s">
        <v>59</v>
      </c>
      <c r="D34" s="73" t="s">
        <v>61</v>
      </c>
      <c r="E34" s="73" t="s">
        <v>65</v>
      </c>
      <c r="F34" s="171" t="s">
        <v>245</v>
      </c>
      <c r="G34" s="72" t="s">
        <v>246</v>
      </c>
      <c r="H34" s="251" t="s">
        <v>247</v>
      </c>
      <c r="I34" s="251" t="s">
        <v>256</v>
      </c>
      <c r="J34" s="251" t="s">
        <v>248</v>
      </c>
      <c r="K34" s="251" t="s">
        <v>249</v>
      </c>
      <c r="L34" s="255" t="s">
        <v>250</v>
      </c>
      <c r="M34" s="256" t="s">
        <v>251</v>
      </c>
      <c r="N34" s="251" t="s">
        <v>252</v>
      </c>
      <c r="O34" s="251" t="s">
        <v>253</v>
      </c>
      <c r="P34" s="255" t="s">
        <v>254</v>
      </c>
      <c r="Q34" s="256" t="s">
        <v>255</v>
      </c>
      <c r="R34" s="251" t="s">
        <v>257</v>
      </c>
      <c r="S34" s="251" t="s">
        <v>259</v>
      </c>
      <c r="T34" s="285" t="s">
        <v>260</v>
      </c>
      <c r="U34" s="285" t="s">
        <v>261</v>
      </c>
      <c r="V34" s="251" t="s">
        <v>262</v>
      </c>
      <c r="W34" s="251" t="s">
        <v>264</v>
      </c>
      <c r="X34" s="251" t="s">
        <v>265</v>
      </c>
      <c r="Y34" s="218" t="s">
        <v>266</v>
      </c>
      <c r="Z34" s="218" t="s">
        <v>223</v>
      </c>
      <c r="AA34" s="218" t="s">
        <v>224</v>
      </c>
    </row>
    <row r="35" spans="2:27" ht="15.75" x14ac:dyDescent="0.25">
      <c r="C35" s="397" t="s">
        <v>148</v>
      </c>
      <c r="D35" s="397"/>
      <c r="E35" s="397"/>
      <c r="F35" s="397"/>
      <c r="G35" s="397"/>
      <c r="H35" s="397"/>
      <c r="I35" s="397"/>
      <c r="J35" s="397"/>
      <c r="K35" s="397"/>
      <c r="L35" s="403"/>
      <c r="M35" s="430" t="s">
        <v>62</v>
      </c>
      <c r="N35" s="431"/>
      <c r="O35" s="431"/>
      <c r="P35" s="432"/>
      <c r="Q35" s="430" t="s">
        <v>60</v>
      </c>
      <c r="R35" s="431"/>
      <c r="S35" s="431"/>
      <c r="T35" s="431"/>
      <c r="U35" s="431"/>
      <c r="V35" s="431"/>
      <c r="W35" s="431"/>
      <c r="X35" s="431"/>
      <c r="Y35" s="431"/>
      <c r="Z35" s="431"/>
      <c r="AA35" s="431"/>
    </row>
    <row r="36" spans="2:27" s="286" customFormat="1" ht="110.25" x14ac:dyDescent="0.25">
      <c r="B36" s="284" t="s">
        <v>112</v>
      </c>
      <c r="C36" s="175" t="s">
        <v>20</v>
      </c>
      <c r="D36" s="176" t="s">
        <v>19</v>
      </c>
      <c r="E36" s="80" t="s">
        <v>5</v>
      </c>
      <c r="F36" s="80" t="s">
        <v>129</v>
      </c>
      <c r="G36" s="80" t="s">
        <v>80</v>
      </c>
      <c r="H36" s="80" t="s">
        <v>195</v>
      </c>
      <c r="I36" s="80" t="s">
        <v>130</v>
      </c>
      <c r="J36" s="80" t="s">
        <v>225</v>
      </c>
      <c r="K36" s="143" t="s">
        <v>226</v>
      </c>
      <c r="L36" s="177" t="s">
        <v>6</v>
      </c>
      <c r="M36" s="129" t="s">
        <v>7</v>
      </c>
      <c r="N36" s="80" t="s">
        <v>8</v>
      </c>
      <c r="O36" s="80" t="s">
        <v>9</v>
      </c>
      <c r="P36" s="133" t="s">
        <v>10</v>
      </c>
      <c r="Q36" s="178" t="s">
        <v>283</v>
      </c>
      <c r="R36" s="80" t="s">
        <v>190</v>
      </c>
      <c r="S36" s="80" t="s">
        <v>11</v>
      </c>
      <c r="T36" s="80" t="s">
        <v>12</v>
      </c>
      <c r="U36" s="80" t="s">
        <v>13</v>
      </c>
      <c r="V36" s="143" t="s">
        <v>14</v>
      </c>
      <c r="W36" s="143" t="s">
        <v>15</v>
      </c>
      <c r="X36" s="143" t="s">
        <v>107</v>
      </c>
      <c r="Y36" s="179" t="s">
        <v>108</v>
      </c>
      <c r="Z36" s="143" t="s">
        <v>109</v>
      </c>
      <c r="AA36" s="143" t="s">
        <v>110</v>
      </c>
    </row>
    <row r="37" spans="2:27" x14ac:dyDescent="0.2">
      <c r="B37" s="218">
        <v>1</v>
      </c>
      <c r="C37" s="287" t="e">
        <f t="shared" ref="C37:C66" si="4">IF(AND(NOT(COUNTA(D37:J37)),(NOT(COUNTA(M37:P37))),(NOT(COUNTA(R37:AA37)))),"",VLOOKUP($D$7,Info_County_Code,2,FALSE))</f>
        <v>#REF!</v>
      </c>
      <c r="D37" s="378" t="s">
        <v>330</v>
      </c>
      <c r="E37" s="261"/>
      <c r="F37" s="261" t="s">
        <v>131</v>
      </c>
      <c r="G37" s="225" t="s">
        <v>115</v>
      </c>
      <c r="H37" s="261"/>
      <c r="I37" s="289">
        <v>1</v>
      </c>
      <c r="J37" s="289">
        <v>0.127</v>
      </c>
      <c r="K37" s="290">
        <f t="shared" ref="K37:K66" si="5">IF(OR(G37="Combined Summary",F37="Standalone"),(SUMPRODUCT(--(D$37:D$66=D37),I$37:I$66,J$37:J$66)),"")</f>
        <v>0.127</v>
      </c>
      <c r="L37" s="239">
        <f>IF(AND(G37="Combined Summary",F37="Combined"),SUM(M37:Q37),IF(F37="Standalone",SUM(M37:Q37),""))</f>
        <v>251999</v>
      </c>
      <c r="M37" s="291">
        <v>8086</v>
      </c>
      <c r="N37" s="241"/>
      <c r="O37" s="241"/>
      <c r="P37" s="242"/>
      <c r="Q37" s="243">
        <f>SUM(R37,S37:AA37)</f>
        <v>243913</v>
      </c>
      <c r="R37" s="241">
        <v>5326</v>
      </c>
      <c r="S37" s="241">
        <v>-439632</v>
      </c>
      <c r="T37" s="241">
        <v>299832</v>
      </c>
      <c r="U37" s="241">
        <v>378387</v>
      </c>
      <c r="V37" s="245"/>
      <c r="W37" s="246"/>
      <c r="X37" s="246"/>
      <c r="Y37" s="246"/>
      <c r="Z37" s="246"/>
      <c r="AA37" s="246"/>
    </row>
    <row r="38" spans="2:27" x14ac:dyDescent="0.2">
      <c r="B38" s="218">
        <v>2</v>
      </c>
      <c r="C38" s="287" t="e">
        <f t="shared" si="4"/>
        <v>#REF!</v>
      </c>
      <c r="D38" s="378" t="s">
        <v>132</v>
      </c>
      <c r="E38" s="261"/>
      <c r="F38" s="261" t="s">
        <v>131</v>
      </c>
      <c r="G38" s="225" t="s">
        <v>115</v>
      </c>
      <c r="H38" s="261"/>
      <c r="I38" s="289">
        <v>1</v>
      </c>
      <c r="J38" s="289">
        <v>0.189</v>
      </c>
      <c r="K38" s="290">
        <f t="shared" si="5"/>
        <v>0.189</v>
      </c>
      <c r="L38" s="239">
        <f t="shared" ref="L38:L66" si="6">IF(AND(G38="Combined Summary",F38="Combined"),SUM(M38:Q38),IF(F38="Standalone",SUM(M38:Q38),""))</f>
        <v>374807</v>
      </c>
      <c r="M38" s="291">
        <v>5592</v>
      </c>
      <c r="N38" s="241"/>
      <c r="O38" s="241"/>
      <c r="P38" s="242"/>
      <c r="Q38" s="243">
        <f t="shared" ref="Q38:Q66" si="7">SUM(R38,S38:AA38)</f>
        <v>369215</v>
      </c>
      <c r="R38" s="241">
        <v>3684</v>
      </c>
      <c r="S38" s="241">
        <v>-103514</v>
      </c>
      <c r="T38" s="241">
        <v>207359</v>
      </c>
      <c r="U38" s="241">
        <v>261686</v>
      </c>
      <c r="V38" s="245"/>
      <c r="W38" s="246"/>
      <c r="X38" s="246"/>
      <c r="Y38" s="246"/>
      <c r="Z38" s="246"/>
      <c r="AA38" s="246"/>
    </row>
    <row r="39" spans="2:27" x14ac:dyDescent="0.2">
      <c r="B39" s="218">
        <v>3</v>
      </c>
      <c r="C39" s="287" t="e">
        <f t="shared" si="4"/>
        <v>#REF!</v>
      </c>
      <c r="D39" s="378" t="s">
        <v>331</v>
      </c>
      <c r="E39" s="225"/>
      <c r="F39" s="261" t="s">
        <v>131</v>
      </c>
      <c r="G39" s="225" t="s">
        <v>116</v>
      </c>
      <c r="H39" s="261"/>
      <c r="I39" s="289">
        <v>1</v>
      </c>
      <c r="J39" s="289">
        <v>0.61439999999999995</v>
      </c>
      <c r="K39" s="290">
        <f t="shared" si="5"/>
        <v>0.61439999999999995</v>
      </c>
      <c r="L39" s="239">
        <f t="shared" si="6"/>
        <v>1303914</v>
      </c>
      <c r="M39" s="291">
        <v>12429</v>
      </c>
      <c r="N39" s="241"/>
      <c r="O39" s="241"/>
      <c r="P39" s="242"/>
      <c r="Q39" s="243">
        <f t="shared" si="7"/>
        <v>1291485</v>
      </c>
      <c r="R39" s="241">
        <v>8184</v>
      </c>
      <c r="S39" s="241">
        <v>240949</v>
      </c>
      <c r="T39" s="241">
        <v>460811</v>
      </c>
      <c r="U39" s="241">
        <v>581541</v>
      </c>
      <c r="V39" s="245"/>
      <c r="W39" s="246"/>
      <c r="X39" s="246"/>
      <c r="Y39" s="246"/>
      <c r="Z39" s="246"/>
      <c r="AA39" s="246"/>
    </row>
    <row r="40" spans="2:27" x14ac:dyDescent="0.2">
      <c r="B40" s="218">
        <v>4</v>
      </c>
      <c r="C40" s="287" t="e">
        <f t="shared" si="4"/>
        <v>#REF!</v>
      </c>
      <c r="D40" s="378" t="s">
        <v>332</v>
      </c>
      <c r="E40" s="261"/>
      <c r="F40" s="261" t="s">
        <v>131</v>
      </c>
      <c r="G40" s="225" t="s">
        <v>116</v>
      </c>
      <c r="H40" s="261"/>
      <c r="I40" s="289">
        <v>1</v>
      </c>
      <c r="J40" s="289">
        <v>6.9599999999999995E-2</v>
      </c>
      <c r="K40" s="290">
        <f t="shared" si="5"/>
        <v>6.9599999999999995E-2</v>
      </c>
      <c r="L40" s="239">
        <f t="shared" si="6"/>
        <v>138108</v>
      </c>
      <c r="M40" s="291">
        <v>4148</v>
      </c>
      <c r="N40" s="241"/>
      <c r="O40" s="241"/>
      <c r="P40" s="242"/>
      <c r="Q40" s="243">
        <f t="shared" si="7"/>
        <v>133960</v>
      </c>
      <c r="R40" s="241">
        <v>2731</v>
      </c>
      <c r="S40" s="241">
        <v>-216652</v>
      </c>
      <c r="T40" s="241">
        <v>153794</v>
      </c>
      <c r="U40" s="241">
        <v>194087</v>
      </c>
      <c r="V40" s="245"/>
      <c r="W40" s="246"/>
      <c r="X40" s="246"/>
      <c r="Y40" s="246"/>
      <c r="Z40" s="246"/>
      <c r="AA40" s="246"/>
    </row>
    <row r="41" spans="2:27" x14ac:dyDescent="0.2">
      <c r="B41" s="218">
        <v>5</v>
      </c>
      <c r="C41" s="287" t="str">
        <f t="shared" si="4"/>
        <v/>
      </c>
      <c r="D41" s="377"/>
      <c r="E41" s="261"/>
      <c r="F41" s="261"/>
      <c r="G41" s="225"/>
      <c r="H41" s="261"/>
      <c r="I41" s="289"/>
      <c r="J41" s="289"/>
      <c r="K41" s="290" t="str">
        <f t="shared" si="5"/>
        <v/>
      </c>
      <c r="L41" s="239" t="str">
        <f t="shared" si="6"/>
        <v/>
      </c>
      <c r="M41" s="291"/>
      <c r="N41" s="241"/>
      <c r="O41" s="241"/>
      <c r="P41" s="242"/>
      <c r="Q41" s="243">
        <f t="shared" si="7"/>
        <v>0</v>
      </c>
      <c r="R41" s="241"/>
      <c r="S41" s="241"/>
      <c r="T41" s="241"/>
      <c r="U41" s="241"/>
      <c r="V41" s="245"/>
      <c r="W41" s="246"/>
      <c r="X41" s="246"/>
      <c r="Y41" s="246"/>
      <c r="Z41" s="246"/>
      <c r="AA41" s="246"/>
    </row>
    <row r="42" spans="2:27" x14ac:dyDescent="0.2">
      <c r="B42" s="251">
        <v>6</v>
      </c>
      <c r="C42" s="287" t="str">
        <f t="shared" si="4"/>
        <v/>
      </c>
      <c r="D42" s="377"/>
      <c r="E42" s="261"/>
      <c r="F42" s="261"/>
      <c r="G42" s="261"/>
      <c r="H42" s="261"/>
      <c r="I42" s="289"/>
      <c r="J42" s="289"/>
      <c r="K42" s="290" t="str">
        <f t="shared" si="5"/>
        <v/>
      </c>
      <c r="L42" s="239" t="str">
        <f t="shared" si="6"/>
        <v/>
      </c>
      <c r="M42" s="291"/>
      <c r="N42" s="241"/>
      <c r="O42" s="241"/>
      <c r="P42" s="242"/>
      <c r="Q42" s="243">
        <f t="shared" si="7"/>
        <v>0</v>
      </c>
      <c r="R42" s="241"/>
      <c r="S42" s="241"/>
      <c r="T42" s="241"/>
      <c r="U42" s="241"/>
      <c r="V42" s="245"/>
      <c r="W42" s="246"/>
      <c r="X42" s="246"/>
      <c r="Y42" s="246"/>
      <c r="Z42" s="246"/>
      <c r="AA42" s="246"/>
    </row>
    <row r="43" spans="2:27" x14ac:dyDescent="0.2">
      <c r="B43" s="218">
        <v>7</v>
      </c>
      <c r="C43" s="287" t="str">
        <f t="shared" si="4"/>
        <v/>
      </c>
      <c r="D43" s="377"/>
      <c r="E43" s="225"/>
      <c r="F43" s="261"/>
      <c r="G43" s="225"/>
      <c r="H43" s="261"/>
      <c r="I43" s="289"/>
      <c r="J43" s="289"/>
      <c r="K43" s="290" t="str">
        <f t="shared" si="5"/>
        <v/>
      </c>
      <c r="L43" s="239" t="str">
        <f t="shared" si="6"/>
        <v/>
      </c>
      <c r="M43" s="291"/>
      <c r="N43" s="241"/>
      <c r="O43" s="241"/>
      <c r="P43" s="242"/>
      <c r="Q43" s="243">
        <f t="shared" si="7"/>
        <v>0</v>
      </c>
      <c r="R43" s="241"/>
      <c r="S43" s="241"/>
      <c r="T43" s="241"/>
      <c r="U43" s="241"/>
      <c r="V43" s="245"/>
      <c r="W43" s="246"/>
      <c r="X43" s="246"/>
      <c r="Y43" s="246"/>
      <c r="Z43" s="246"/>
      <c r="AA43" s="246"/>
    </row>
    <row r="44" spans="2:27" x14ac:dyDescent="0.2">
      <c r="B44" s="218">
        <v>8</v>
      </c>
      <c r="C44" s="287" t="str">
        <f t="shared" si="4"/>
        <v/>
      </c>
      <c r="D44" s="377"/>
      <c r="E44" s="225"/>
      <c r="F44" s="261"/>
      <c r="G44" s="225"/>
      <c r="H44" s="225"/>
      <c r="I44" s="289"/>
      <c r="J44" s="289"/>
      <c r="K44" s="290" t="str">
        <f t="shared" si="5"/>
        <v/>
      </c>
      <c r="L44" s="239" t="str">
        <f t="shared" si="6"/>
        <v/>
      </c>
      <c r="M44" s="291"/>
      <c r="N44" s="241"/>
      <c r="O44" s="241"/>
      <c r="P44" s="242"/>
      <c r="Q44" s="243">
        <f t="shared" si="7"/>
        <v>0</v>
      </c>
      <c r="R44" s="241"/>
      <c r="S44" s="244"/>
      <c r="T44" s="244"/>
      <c r="U44" s="244"/>
      <c r="V44" s="245"/>
      <c r="W44" s="246"/>
      <c r="X44" s="246"/>
      <c r="Y44" s="246"/>
      <c r="Z44" s="246"/>
      <c r="AA44" s="246"/>
    </row>
    <row r="45" spans="2:27" x14ac:dyDescent="0.2">
      <c r="B45" s="218">
        <v>9</v>
      </c>
      <c r="C45" s="287" t="str">
        <f t="shared" si="4"/>
        <v/>
      </c>
      <c r="D45" s="377"/>
      <c r="E45" s="225"/>
      <c r="F45" s="261"/>
      <c r="G45" s="225"/>
      <c r="H45" s="225"/>
      <c r="I45" s="289"/>
      <c r="J45" s="289"/>
      <c r="K45" s="290" t="str">
        <f t="shared" si="5"/>
        <v/>
      </c>
      <c r="L45" s="239" t="str">
        <f t="shared" si="6"/>
        <v/>
      </c>
      <c r="M45" s="291"/>
      <c r="N45" s="241"/>
      <c r="O45" s="241"/>
      <c r="P45" s="242"/>
      <c r="Q45" s="243">
        <f t="shared" si="7"/>
        <v>0</v>
      </c>
      <c r="R45" s="241"/>
      <c r="S45" s="244"/>
      <c r="T45" s="244"/>
      <c r="U45" s="244"/>
      <c r="V45" s="245"/>
      <c r="W45" s="246"/>
      <c r="X45" s="246"/>
      <c r="Y45" s="246"/>
      <c r="Z45" s="246"/>
      <c r="AA45" s="246"/>
    </row>
    <row r="46" spans="2:27" x14ac:dyDescent="0.2">
      <c r="B46" s="218">
        <v>10</v>
      </c>
      <c r="C46" s="287" t="str">
        <f t="shared" si="4"/>
        <v/>
      </c>
      <c r="D46" s="377"/>
      <c r="E46" s="225"/>
      <c r="F46" s="261"/>
      <c r="G46" s="225"/>
      <c r="H46" s="225"/>
      <c r="I46" s="289"/>
      <c r="J46" s="289"/>
      <c r="K46" s="290" t="str">
        <f t="shared" si="5"/>
        <v/>
      </c>
      <c r="L46" s="239" t="str">
        <f t="shared" si="6"/>
        <v/>
      </c>
      <c r="M46" s="291"/>
      <c r="N46" s="241"/>
      <c r="O46" s="241"/>
      <c r="P46" s="242"/>
      <c r="Q46" s="243">
        <f t="shared" si="7"/>
        <v>0</v>
      </c>
      <c r="R46" s="241"/>
      <c r="S46" s="244"/>
      <c r="T46" s="244"/>
      <c r="U46" s="244"/>
      <c r="V46" s="245"/>
      <c r="W46" s="246"/>
      <c r="X46" s="246"/>
      <c r="Y46" s="246"/>
      <c r="Z46" s="246"/>
      <c r="AA46" s="246"/>
    </row>
    <row r="47" spans="2:27" x14ac:dyDescent="0.2">
      <c r="B47" s="218">
        <v>11</v>
      </c>
      <c r="C47" s="287" t="str">
        <f t="shared" si="4"/>
        <v/>
      </c>
      <c r="D47" s="377"/>
      <c r="E47" s="225"/>
      <c r="F47" s="261"/>
      <c r="G47" s="225"/>
      <c r="H47" s="225"/>
      <c r="I47" s="289"/>
      <c r="J47" s="289"/>
      <c r="K47" s="290" t="str">
        <f t="shared" si="5"/>
        <v/>
      </c>
      <c r="L47" s="239" t="str">
        <f t="shared" si="6"/>
        <v/>
      </c>
      <c r="M47" s="291"/>
      <c r="N47" s="241"/>
      <c r="O47" s="241"/>
      <c r="P47" s="242"/>
      <c r="Q47" s="243">
        <f t="shared" si="7"/>
        <v>0</v>
      </c>
      <c r="R47" s="241"/>
      <c r="S47" s="244"/>
      <c r="T47" s="244"/>
      <c r="U47" s="244"/>
      <c r="V47" s="245"/>
      <c r="W47" s="246"/>
      <c r="X47" s="246"/>
      <c r="Y47" s="246"/>
      <c r="Z47" s="246"/>
      <c r="AA47" s="246"/>
    </row>
    <row r="48" spans="2:27" x14ac:dyDescent="0.2">
      <c r="B48" s="218">
        <v>12</v>
      </c>
      <c r="C48" s="287" t="str">
        <f t="shared" si="4"/>
        <v/>
      </c>
      <c r="D48" s="377"/>
      <c r="E48" s="225"/>
      <c r="F48" s="261"/>
      <c r="G48" s="225"/>
      <c r="H48" s="225"/>
      <c r="I48" s="289"/>
      <c r="J48" s="289"/>
      <c r="K48" s="290" t="str">
        <f t="shared" si="5"/>
        <v/>
      </c>
      <c r="L48" s="239" t="str">
        <f t="shared" si="6"/>
        <v/>
      </c>
      <c r="M48" s="291"/>
      <c r="N48" s="241"/>
      <c r="O48" s="241"/>
      <c r="P48" s="242"/>
      <c r="Q48" s="243">
        <f t="shared" si="7"/>
        <v>0</v>
      </c>
      <c r="R48" s="241"/>
      <c r="S48" s="244"/>
      <c r="T48" s="244"/>
      <c r="U48" s="244"/>
      <c r="V48" s="245"/>
      <c r="W48" s="246"/>
      <c r="X48" s="246"/>
      <c r="Y48" s="246"/>
      <c r="Z48" s="246"/>
      <c r="AA48" s="246"/>
    </row>
    <row r="49" spans="2:27" x14ac:dyDescent="0.2">
      <c r="B49" s="218">
        <v>13</v>
      </c>
      <c r="C49" s="287" t="str">
        <f t="shared" si="4"/>
        <v/>
      </c>
      <c r="D49" s="377"/>
      <c r="E49" s="225"/>
      <c r="F49" s="261"/>
      <c r="G49" s="225"/>
      <c r="H49" s="225"/>
      <c r="I49" s="289"/>
      <c r="J49" s="289"/>
      <c r="K49" s="290" t="str">
        <f t="shared" si="5"/>
        <v/>
      </c>
      <c r="L49" s="239" t="str">
        <f t="shared" si="6"/>
        <v/>
      </c>
      <c r="M49" s="291"/>
      <c r="N49" s="241"/>
      <c r="O49" s="241"/>
      <c r="P49" s="242"/>
      <c r="Q49" s="243">
        <f t="shared" si="7"/>
        <v>0</v>
      </c>
      <c r="R49" s="241"/>
      <c r="S49" s="244"/>
      <c r="T49" s="244"/>
      <c r="U49" s="244"/>
      <c r="V49" s="245"/>
      <c r="W49" s="246"/>
      <c r="X49" s="246"/>
      <c r="Y49" s="246"/>
      <c r="Z49" s="246"/>
      <c r="AA49" s="246"/>
    </row>
    <row r="50" spans="2:27" x14ac:dyDescent="0.2">
      <c r="B50" s="218">
        <v>14</v>
      </c>
      <c r="C50" s="287" t="str">
        <f t="shared" si="4"/>
        <v/>
      </c>
      <c r="D50" s="377"/>
      <c r="E50" s="225"/>
      <c r="F50" s="261"/>
      <c r="G50" s="225"/>
      <c r="H50" s="225"/>
      <c r="I50" s="289"/>
      <c r="J50" s="289"/>
      <c r="K50" s="290" t="str">
        <f t="shared" si="5"/>
        <v/>
      </c>
      <c r="L50" s="239" t="str">
        <f t="shared" si="6"/>
        <v/>
      </c>
      <c r="M50" s="291"/>
      <c r="N50" s="241"/>
      <c r="O50" s="241"/>
      <c r="P50" s="242"/>
      <c r="Q50" s="243">
        <f t="shared" si="7"/>
        <v>0</v>
      </c>
      <c r="R50" s="241"/>
      <c r="S50" s="244"/>
      <c r="T50" s="244"/>
      <c r="U50" s="244"/>
      <c r="V50" s="245"/>
      <c r="W50" s="246"/>
      <c r="X50" s="246"/>
      <c r="Y50" s="246"/>
      <c r="Z50" s="246"/>
      <c r="AA50" s="246"/>
    </row>
    <row r="51" spans="2:27" x14ac:dyDescent="0.2">
      <c r="B51" s="218">
        <v>15</v>
      </c>
      <c r="C51" s="287" t="str">
        <f t="shared" si="4"/>
        <v/>
      </c>
      <c r="D51" s="377"/>
      <c r="E51" s="225"/>
      <c r="F51" s="261"/>
      <c r="G51" s="225"/>
      <c r="H51" s="225"/>
      <c r="I51" s="289"/>
      <c r="J51" s="289"/>
      <c r="K51" s="290" t="str">
        <f t="shared" si="5"/>
        <v/>
      </c>
      <c r="L51" s="239" t="str">
        <f t="shared" si="6"/>
        <v/>
      </c>
      <c r="M51" s="291"/>
      <c r="N51" s="241"/>
      <c r="O51" s="241"/>
      <c r="P51" s="242"/>
      <c r="Q51" s="243">
        <f t="shared" si="7"/>
        <v>0</v>
      </c>
      <c r="R51" s="241"/>
      <c r="S51" s="244"/>
      <c r="T51" s="244"/>
      <c r="U51" s="244"/>
      <c r="V51" s="245"/>
      <c r="W51" s="246"/>
      <c r="X51" s="246"/>
      <c r="Y51" s="246"/>
      <c r="Z51" s="246"/>
      <c r="AA51" s="246"/>
    </row>
    <row r="52" spans="2:27" x14ac:dyDescent="0.2">
      <c r="B52" s="218">
        <v>16</v>
      </c>
      <c r="C52" s="287" t="str">
        <f t="shared" si="4"/>
        <v/>
      </c>
      <c r="D52" s="377"/>
      <c r="E52" s="225"/>
      <c r="F52" s="261"/>
      <c r="G52" s="225"/>
      <c r="H52" s="225"/>
      <c r="I52" s="289"/>
      <c r="J52" s="289"/>
      <c r="K52" s="290" t="str">
        <f t="shared" si="5"/>
        <v/>
      </c>
      <c r="L52" s="239" t="str">
        <f t="shared" si="6"/>
        <v/>
      </c>
      <c r="M52" s="291"/>
      <c r="N52" s="241"/>
      <c r="O52" s="241"/>
      <c r="P52" s="242"/>
      <c r="Q52" s="243">
        <f t="shared" si="7"/>
        <v>0</v>
      </c>
      <c r="R52" s="241"/>
      <c r="S52" s="244"/>
      <c r="T52" s="244"/>
      <c r="U52" s="244"/>
      <c r="V52" s="245"/>
      <c r="W52" s="246"/>
      <c r="X52" s="246"/>
      <c r="Y52" s="246"/>
      <c r="Z52" s="246"/>
      <c r="AA52" s="246"/>
    </row>
    <row r="53" spans="2:27" x14ac:dyDescent="0.2">
      <c r="B53" s="218">
        <v>17</v>
      </c>
      <c r="C53" s="287" t="str">
        <f t="shared" si="4"/>
        <v/>
      </c>
      <c r="D53" s="377"/>
      <c r="E53" s="225"/>
      <c r="F53" s="261"/>
      <c r="G53" s="225"/>
      <c r="H53" s="225"/>
      <c r="I53" s="289"/>
      <c r="J53" s="289"/>
      <c r="K53" s="290" t="str">
        <f t="shared" si="5"/>
        <v/>
      </c>
      <c r="L53" s="239" t="str">
        <f t="shared" si="6"/>
        <v/>
      </c>
      <c r="M53" s="291"/>
      <c r="N53" s="241"/>
      <c r="O53" s="241"/>
      <c r="P53" s="242"/>
      <c r="Q53" s="243">
        <f t="shared" si="7"/>
        <v>0</v>
      </c>
      <c r="R53" s="241"/>
      <c r="S53" s="244"/>
      <c r="T53" s="244"/>
      <c r="U53" s="244"/>
      <c r="V53" s="245"/>
      <c r="W53" s="246"/>
      <c r="X53" s="246"/>
      <c r="Y53" s="246"/>
      <c r="Z53" s="246"/>
      <c r="AA53" s="246"/>
    </row>
    <row r="54" spans="2:27" x14ac:dyDescent="0.2">
      <c r="B54" s="218">
        <v>18</v>
      </c>
      <c r="C54" s="287" t="str">
        <f t="shared" si="4"/>
        <v/>
      </c>
      <c r="D54" s="377"/>
      <c r="E54" s="225"/>
      <c r="F54" s="261"/>
      <c r="G54" s="225"/>
      <c r="H54" s="225"/>
      <c r="I54" s="289"/>
      <c r="J54" s="289"/>
      <c r="K54" s="290" t="str">
        <f t="shared" si="5"/>
        <v/>
      </c>
      <c r="L54" s="239" t="str">
        <f t="shared" si="6"/>
        <v/>
      </c>
      <c r="M54" s="291"/>
      <c r="N54" s="241"/>
      <c r="O54" s="241"/>
      <c r="P54" s="242"/>
      <c r="Q54" s="243">
        <f t="shared" si="7"/>
        <v>0</v>
      </c>
      <c r="R54" s="241"/>
      <c r="S54" s="244"/>
      <c r="T54" s="244"/>
      <c r="U54" s="244"/>
      <c r="V54" s="245"/>
      <c r="W54" s="246"/>
      <c r="X54" s="246"/>
      <c r="Y54" s="246"/>
      <c r="Z54" s="246"/>
      <c r="AA54" s="246"/>
    </row>
    <row r="55" spans="2:27" x14ac:dyDescent="0.2">
      <c r="B55" s="218">
        <v>19</v>
      </c>
      <c r="C55" s="287" t="str">
        <f t="shared" si="4"/>
        <v/>
      </c>
      <c r="D55" s="377"/>
      <c r="E55" s="225"/>
      <c r="F55" s="261"/>
      <c r="G55" s="225"/>
      <c r="H55" s="225"/>
      <c r="I55" s="289"/>
      <c r="J55" s="289"/>
      <c r="K55" s="290" t="str">
        <f t="shared" si="5"/>
        <v/>
      </c>
      <c r="L55" s="239" t="str">
        <f t="shared" si="6"/>
        <v/>
      </c>
      <c r="M55" s="291"/>
      <c r="N55" s="241"/>
      <c r="O55" s="241"/>
      <c r="P55" s="242"/>
      <c r="Q55" s="243">
        <f t="shared" si="7"/>
        <v>0</v>
      </c>
      <c r="R55" s="241"/>
      <c r="S55" s="244"/>
      <c r="T55" s="244"/>
      <c r="U55" s="244"/>
      <c r="V55" s="245"/>
      <c r="W55" s="246"/>
      <c r="X55" s="246"/>
      <c r="Y55" s="246"/>
      <c r="Z55" s="246"/>
      <c r="AA55" s="246"/>
    </row>
    <row r="56" spans="2:27" x14ac:dyDescent="0.2">
      <c r="B56" s="218">
        <v>20</v>
      </c>
      <c r="C56" s="287" t="str">
        <f t="shared" si="4"/>
        <v/>
      </c>
      <c r="D56" s="377"/>
      <c r="E56" s="225"/>
      <c r="F56" s="261"/>
      <c r="G56" s="225"/>
      <c r="H56" s="225"/>
      <c r="I56" s="289"/>
      <c r="J56" s="289"/>
      <c r="K56" s="290" t="str">
        <f t="shared" si="5"/>
        <v/>
      </c>
      <c r="L56" s="239" t="str">
        <f t="shared" si="6"/>
        <v/>
      </c>
      <c r="M56" s="291"/>
      <c r="N56" s="241"/>
      <c r="O56" s="241"/>
      <c r="P56" s="242"/>
      <c r="Q56" s="243">
        <f t="shared" si="7"/>
        <v>0</v>
      </c>
      <c r="R56" s="241"/>
      <c r="S56" s="244"/>
      <c r="T56" s="244"/>
      <c r="U56" s="244"/>
      <c r="V56" s="245"/>
      <c r="W56" s="246"/>
      <c r="X56" s="246"/>
      <c r="Y56" s="246"/>
      <c r="Z56" s="246"/>
      <c r="AA56" s="246"/>
    </row>
    <row r="57" spans="2:27" x14ac:dyDescent="0.2">
      <c r="B57" s="218">
        <v>21</v>
      </c>
      <c r="C57" s="287" t="str">
        <f t="shared" si="4"/>
        <v/>
      </c>
      <c r="D57" s="377"/>
      <c r="E57" s="225"/>
      <c r="F57" s="261"/>
      <c r="G57" s="225"/>
      <c r="H57" s="225"/>
      <c r="I57" s="289"/>
      <c r="J57" s="289"/>
      <c r="K57" s="290" t="str">
        <f t="shared" si="5"/>
        <v/>
      </c>
      <c r="L57" s="239" t="str">
        <f t="shared" si="6"/>
        <v/>
      </c>
      <c r="M57" s="291"/>
      <c r="N57" s="241"/>
      <c r="O57" s="241"/>
      <c r="P57" s="242"/>
      <c r="Q57" s="243">
        <f t="shared" si="7"/>
        <v>0</v>
      </c>
      <c r="R57" s="241"/>
      <c r="S57" s="244"/>
      <c r="T57" s="244"/>
      <c r="U57" s="244"/>
      <c r="V57" s="245"/>
      <c r="W57" s="246"/>
      <c r="X57" s="246"/>
      <c r="Y57" s="246"/>
      <c r="Z57" s="246"/>
      <c r="AA57" s="246"/>
    </row>
    <row r="58" spans="2:27" x14ac:dyDescent="0.2">
      <c r="B58" s="218">
        <v>22</v>
      </c>
      <c r="C58" s="287" t="str">
        <f t="shared" si="4"/>
        <v/>
      </c>
      <c r="D58" s="377"/>
      <c r="E58" s="225"/>
      <c r="F58" s="261"/>
      <c r="G58" s="225"/>
      <c r="H58" s="225"/>
      <c r="I58" s="289"/>
      <c r="J58" s="289"/>
      <c r="K58" s="290" t="str">
        <f t="shared" si="5"/>
        <v/>
      </c>
      <c r="L58" s="239" t="str">
        <f t="shared" si="6"/>
        <v/>
      </c>
      <c r="M58" s="291"/>
      <c r="N58" s="241"/>
      <c r="O58" s="241"/>
      <c r="P58" s="242"/>
      <c r="Q58" s="243">
        <f t="shared" si="7"/>
        <v>0</v>
      </c>
      <c r="R58" s="241"/>
      <c r="S58" s="244"/>
      <c r="T58" s="244"/>
      <c r="U58" s="244"/>
      <c r="V58" s="245"/>
      <c r="W58" s="246"/>
      <c r="X58" s="246"/>
      <c r="Y58" s="246"/>
      <c r="Z58" s="246"/>
      <c r="AA58" s="246"/>
    </row>
    <row r="59" spans="2:27" x14ac:dyDescent="0.2">
      <c r="B59" s="218">
        <v>23</v>
      </c>
      <c r="C59" s="287" t="str">
        <f t="shared" si="4"/>
        <v/>
      </c>
      <c r="D59" s="377"/>
      <c r="E59" s="225"/>
      <c r="F59" s="261"/>
      <c r="G59" s="225"/>
      <c r="H59" s="225"/>
      <c r="I59" s="289"/>
      <c r="J59" s="289"/>
      <c r="K59" s="290" t="str">
        <f t="shared" si="5"/>
        <v/>
      </c>
      <c r="L59" s="239" t="str">
        <f t="shared" si="6"/>
        <v/>
      </c>
      <c r="M59" s="291"/>
      <c r="N59" s="241"/>
      <c r="O59" s="241"/>
      <c r="P59" s="242"/>
      <c r="Q59" s="243">
        <f t="shared" si="7"/>
        <v>0</v>
      </c>
      <c r="R59" s="241"/>
      <c r="S59" s="244"/>
      <c r="T59" s="244"/>
      <c r="U59" s="244"/>
      <c r="V59" s="245"/>
      <c r="W59" s="246"/>
      <c r="X59" s="246"/>
      <c r="Y59" s="246"/>
      <c r="Z59" s="246"/>
      <c r="AA59" s="246"/>
    </row>
    <row r="60" spans="2:27" x14ac:dyDescent="0.2">
      <c r="B60" s="218">
        <v>24</v>
      </c>
      <c r="C60" s="287" t="str">
        <f t="shared" si="4"/>
        <v/>
      </c>
      <c r="D60" s="377"/>
      <c r="E60" s="225"/>
      <c r="F60" s="261"/>
      <c r="G60" s="225"/>
      <c r="H60" s="225"/>
      <c r="I60" s="289"/>
      <c r="J60" s="289"/>
      <c r="K60" s="290" t="str">
        <f t="shared" si="5"/>
        <v/>
      </c>
      <c r="L60" s="239" t="str">
        <f t="shared" si="6"/>
        <v/>
      </c>
      <c r="M60" s="291"/>
      <c r="N60" s="241"/>
      <c r="O60" s="241"/>
      <c r="P60" s="242"/>
      <c r="Q60" s="243">
        <f t="shared" si="7"/>
        <v>0</v>
      </c>
      <c r="R60" s="241"/>
      <c r="S60" s="244"/>
      <c r="T60" s="244"/>
      <c r="U60" s="244"/>
      <c r="V60" s="245"/>
      <c r="W60" s="246"/>
      <c r="X60" s="246"/>
      <c r="Y60" s="246"/>
      <c r="Z60" s="246"/>
      <c r="AA60" s="246"/>
    </row>
    <row r="61" spans="2:27" x14ac:dyDescent="0.2">
      <c r="B61" s="218">
        <v>25</v>
      </c>
      <c r="C61" s="287" t="str">
        <f t="shared" si="4"/>
        <v/>
      </c>
      <c r="D61" s="377"/>
      <c r="E61" s="225"/>
      <c r="F61" s="261"/>
      <c r="G61" s="225"/>
      <c r="H61" s="225"/>
      <c r="I61" s="289"/>
      <c r="J61" s="289"/>
      <c r="K61" s="290" t="str">
        <f t="shared" si="5"/>
        <v/>
      </c>
      <c r="L61" s="239" t="str">
        <f t="shared" si="6"/>
        <v/>
      </c>
      <c r="M61" s="291"/>
      <c r="N61" s="241"/>
      <c r="O61" s="241"/>
      <c r="P61" s="242"/>
      <c r="Q61" s="243">
        <f t="shared" si="7"/>
        <v>0</v>
      </c>
      <c r="R61" s="241"/>
      <c r="S61" s="244"/>
      <c r="T61" s="244"/>
      <c r="U61" s="244"/>
      <c r="V61" s="245"/>
      <c r="W61" s="246"/>
      <c r="X61" s="246"/>
      <c r="Y61" s="246"/>
      <c r="Z61" s="246"/>
      <c r="AA61" s="246"/>
    </row>
    <row r="62" spans="2:27" x14ac:dyDescent="0.2">
      <c r="B62" s="218">
        <v>26</v>
      </c>
      <c r="C62" s="287" t="str">
        <f t="shared" si="4"/>
        <v/>
      </c>
      <c r="D62" s="377"/>
      <c r="E62" s="225"/>
      <c r="F62" s="261"/>
      <c r="G62" s="225"/>
      <c r="H62" s="225"/>
      <c r="I62" s="289"/>
      <c r="J62" s="289"/>
      <c r="K62" s="290" t="str">
        <f t="shared" si="5"/>
        <v/>
      </c>
      <c r="L62" s="239" t="str">
        <f t="shared" si="6"/>
        <v/>
      </c>
      <c r="M62" s="291"/>
      <c r="N62" s="241"/>
      <c r="O62" s="241"/>
      <c r="P62" s="242"/>
      <c r="Q62" s="243">
        <f t="shared" si="7"/>
        <v>0</v>
      </c>
      <c r="R62" s="241"/>
      <c r="S62" s="244"/>
      <c r="T62" s="244"/>
      <c r="U62" s="244"/>
      <c r="V62" s="245"/>
      <c r="W62" s="246"/>
      <c r="X62" s="246"/>
      <c r="Y62" s="246"/>
      <c r="Z62" s="246"/>
      <c r="AA62" s="246"/>
    </row>
    <row r="63" spans="2:27" x14ac:dyDescent="0.2">
      <c r="B63" s="218">
        <v>27</v>
      </c>
      <c r="C63" s="287" t="str">
        <f t="shared" si="4"/>
        <v/>
      </c>
      <c r="D63" s="377"/>
      <c r="E63" s="225"/>
      <c r="F63" s="261"/>
      <c r="G63" s="225"/>
      <c r="H63" s="225"/>
      <c r="I63" s="289"/>
      <c r="J63" s="289"/>
      <c r="K63" s="290" t="str">
        <f t="shared" si="5"/>
        <v/>
      </c>
      <c r="L63" s="239" t="str">
        <f t="shared" si="6"/>
        <v/>
      </c>
      <c r="M63" s="291"/>
      <c r="N63" s="241"/>
      <c r="O63" s="241"/>
      <c r="P63" s="242"/>
      <c r="Q63" s="243">
        <f t="shared" si="7"/>
        <v>0</v>
      </c>
      <c r="R63" s="241"/>
      <c r="S63" s="244"/>
      <c r="T63" s="244"/>
      <c r="U63" s="244"/>
      <c r="V63" s="245"/>
      <c r="W63" s="246"/>
      <c r="X63" s="246"/>
      <c r="Y63" s="246"/>
      <c r="Z63" s="246"/>
      <c r="AA63" s="246"/>
    </row>
    <row r="64" spans="2:27" x14ac:dyDescent="0.2">
      <c r="B64" s="218">
        <v>28</v>
      </c>
      <c r="C64" s="287" t="str">
        <f t="shared" si="4"/>
        <v/>
      </c>
      <c r="D64" s="377"/>
      <c r="E64" s="225"/>
      <c r="F64" s="261"/>
      <c r="G64" s="225"/>
      <c r="H64" s="225"/>
      <c r="I64" s="289"/>
      <c r="J64" s="289"/>
      <c r="K64" s="290" t="str">
        <f t="shared" si="5"/>
        <v/>
      </c>
      <c r="L64" s="239" t="str">
        <f t="shared" si="6"/>
        <v/>
      </c>
      <c r="M64" s="291"/>
      <c r="N64" s="241"/>
      <c r="O64" s="241"/>
      <c r="P64" s="242"/>
      <c r="Q64" s="243">
        <f t="shared" si="7"/>
        <v>0</v>
      </c>
      <c r="R64" s="241"/>
      <c r="S64" s="244"/>
      <c r="T64" s="244"/>
      <c r="U64" s="244"/>
      <c r="V64" s="245"/>
      <c r="W64" s="246"/>
      <c r="X64" s="246"/>
      <c r="Y64" s="246"/>
      <c r="Z64" s="246"/>
      <c r="AA64" s="246"/>
    </row>
    <row r="65" spans="2:27" x14ac:dyDescent="0.2">
      <c r="B65" s="218">
        <v>29</v>
      </c>
      <c r="C65" s="287" t="str">
        <f t="shared" si="4"/>
        <v/>
      </c>
      <c r="D65" s="377"/>
      <c r="E65" s="225"/>
      <c r="F65" s="261"/>
      <c r="G65" s="225"/>
      <c r="H65" s="225"/>
      <c r="I65" s="289"/>
      <c r="J65" s="289"/>
      <c r="K65" s="290" t="str">
        <f t="shared" si="5"/>
        <v/>
      </c>
      <c r="L65" s="239" t="str">
        <f t="shared" si="6"/>
        <v/>
      </c>
      <c r="M65" s="291"/>
      <c r="N65" s="241"/>
      <c r="O65" s="241"/>
      <c r="P65" s="242"/>
      <c r="Q65" s="243">
        <f t="shared" si="7"/>
        <v>0</v>
      </c>
      <c r="R65" s="241"/>
      <c r="S65" s="244"/>
      <c r="T65" s="244"/>
      <c r="U65" s="244"/>
      <c r="V65" s="245"/>
      <c r="W65" s="246"/>
      <c r="X65" s="246"/>
      <c r="Y65" s="246"/>
      <c r="Z65" s="246"/>
      <c r="AA65" s="246"/>
    </row>
    <row r="66" spans="2:27" x14ac:dyDescent="0.2">
      <c r="B66" s="218">
        <v>30</v>
      </c>
      <c r="C66" s="287" t="str">
        <f t="shared" si="4"/>
        <v/>
      </c>
      <c r="D66" s="377"/>
      <c r="E66" s="225"/>
      <c r="F66" s="261"/>
      <c r="G66" s="225"/>
      <c r="H66" s="225"/>
      <c r="I66" s="289"/>
      <c r="J66" s="289"/>
      <c r="K66" s="290" t="str">
        <f t="shared" si="5"/>
        <v/>
      </c>
      <c r="L66" s="239" t="str">
        <f t="shared" si="6"/>
        <v/>
      </c>
      <c r="M66" s="291"/>
      <c r="N66" s="241"/>
      <c r="O66" s="241"/>
      <c r="P66" s="242"/>
      <c r="Q66" s="243">
        <f t="shared" si="7"/>
        <v>0</v>
      </c>
      <c r="R66" s="241"/>
      <c r="S66" s="244"/>
      <c r="T66" s="244"/>
      <c r="U66" s="244"/>
      <c r="V66" s="245"/>
      <c r="W66" s="246"/>
      <c r="X66" s="246"/>
      <c r="Y66" s="246"/>
      <c r="Z66" s="246"/>
      <c r="AA66" s="246"/>
    </row>
    <row r="67" spans="2:27" hidden="1" x14ac:dyDescent="0.2">
      <c r="B67" s="292"/>
      <c r="C67" s="226"/>
    </row>
  </sheetData>
  <sheetProtection sheet="1" objects="1" scenarios="1" formatColumns="0" formatRows="0" selectLockedCells="1"/>
  <mergeCells count="19">
    <mergeCell ref="C35:L35"/>
    <mergeCell ref="F27:F29"/>
    <mergeCell ref="B7:C7"/>
    <mergeCell ref="M35:P35"/>
    <mergeCell ref="Q35:AA35"/>
    <mergeCell ref="C13:E13"/>
    <mergeCell ref="C14:E14"/>
    <mergeCell ref="C15:E15"/>
    <mergeCell ref="C16:E16"/>
    <mergeCell ref="C21:E21"/>
    <mergeCell ref="C22:E22"/>
    <mergeCell ref="C20:E20"/>
    <mergeCell ref="G12:J12"/>
    <mergeCell ref="K12:U12"/>
    <mergeCell ref="C30:E30"/>
    <mergeCell ref="C18:E18"/>
    <mergeCell ref="C19:E19"/>
    <mergeCell ref="C17:E17"/>
    <mergeCell ref="G27:G29"/>
  </mergeCells>
  <dataValidations count="2">
    <dataValidation type="list" allowBlank="1" showInputMessage="1" showErrorMessage="1" sqref="G37:G66" xr:uid="{00000000-0002-0000-0500-000000000000}">
      <formula1>PEI_Program_Type</formula1>
    </dataValidation>
    <dataValidation type="list" allowBlank="1" showInputMessage="1" showErrorMessage="1" sqref="F37:F66" xr:uid="{00000000-0002-0000-0500-000001000000}">
      <formula1>PEI_Combined_Standalone</formula1>
    </dataValidation>
  </dataValidations>
  <hyperlinks>
    <hyperlink ref="B1" location="'2. Component Summary'!A1" display="Back to Summary" xr:uid="{00000000-0004-0000-0500-000000000000}"/>
  </hyperlinks>
  <pageMargins left="0.25" right="0.25" top="0.75" bottom="0.75" header="0.3" footer="0.3"/>
  <pageSetup paperSize="17" scale="41" orientation="landscape" r:id="rId1"/>
  <headerFooter>
    <oddHeader xml:space="preserve">&amp;C&amp;"Arial,Regular"&amp;16Annual Mental Health Services Act Revenue and Expenditure Report for             
Fiscal Year 2016-17
Prevention and Early Intervention (PEI) Summary
</oddHeader>
    <oddFooter>&amp;C&amp;"Arial,Regular"&amp;16Page &amp;P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autoPageBreaks="0" fitToPage="1"/>
  </sheetPr>
  <dimension ref="A1:AA87"/>
  <sheetViews>
    <sheetView showGridLines="0" zoomScale="70" zoomScaleNormal="70" zoomScaleSheetLayoutView="40" workbookViewId="0">
      <selection activeCell="R29" sqref="R29"/>
    </sheetView>
  </sheetViews>
  <sheetFormatPr defaultColWidth="0" defaultRowHeight="15" zeroHeight="1" x14ac:dyDescent="0.2"/>
  <cols>
    <col min="1" max="1" width="2.7109375" style="226" customWidth="1"/>
    <col min="2" max="2" width="6.7109375" style="228" customWidth="1"/>
    <col min="3" max="3" width="8.85546875" style="228" customWidth="1"/>
    <col min="4" max="4" width="26.42578125" style="228" customWidth="1"/>
    <col min="5" max="8" width="17.7109375" style="228" customWidth="1"/>
    <col min="9" max="9" width="24.85546875" style="228" customWidth="1"/>
    <col min="10" max="10" width="24.42578125" style="228" bestFit="1" customWidth="1"/>
    <col min="11" max="11" width="17.7109375" style="228" customWidth="1"/>
    <col min="12" max="12" width="15.42578125" style="228" customWidth="1"/>
    <col min="13" max="13" width="19.28515625" style="228" customWidth="1"/>
    <col min="14" max="17" width="15.42578125" style="228" customWidth="1"/>
    <col min="18" max="18" width="17.42578125" style="228" customWidth="1"/>
    <col min="19" max="25" width="15.42578125" style="228" customWidth="1"/>
    <col min="26" max="26" width="17.7109375" style="228" customWidth="1"/>
    <col min="27" max="27" width="17.7109375" style="228" hidden="1" customWidth="1"/>
    <col min="28" max="16384" width="9.140625" style="226" hidden="1"/>
  </cols>
  <sheetData>
    <row r="1" spans="2:27" x14ac:dyDescent="0.2">
      <c r="B1" s="406" t="s">
        <v>229</v>
      </c>
      <c r="C1" s="406"/>
      <c r="D1" s="406"/>
    </row>
    <row r="2" spans="2:27" x14ac:dyDescent="0.2">
      <c r="B2" s="208"/>
      <c r="C2" s="208"/>
      <c r="D2" s="208"/>
    </row>
    <row r="3" spans="2:27" ht="18" x14ac:dyDescent="0.25">
      <c r="B3" s="344" t="s">
        <v>21</v>
      </c>
      <c r="C3" s="57"/>
      <c r="D3" s="57"/>
      <c r="E3" s="57"/>
      <c r="F3" s="57"/>
      <c r="G3" s="57"/>
      <c r="H3" s="57"/>
      <c r="I3" s="57"/>
      <c r="J3" s="57"/>
      <c r="K3" s="58"/>
      <c r="L3" s="57"/>
      <c r="M3" s="57"/>
      <c r="N3" s="57"/>
      <c r="O3" s="57"/>
      <c r="P3" s="57"/>
      <c r="Q3" s="57"/>
      <c r="R3" s="57"/>
      <c r="S3" s="57"/>
      <c r="T3" s="57"/>
      <c r="U3" s="57"/>
      <c r="V3" s="57"/>
      <c r="W3" s="57"/>
      <c r="X3" s="57"/>
      <c r="Y3" s="57"/>
      <c r="Z3" s="57"/>
      <c r="AA3" s="226"/>
    </row>
    <row r="4" spans="2:27" ht="18" x14ac:dyDescent="0.2">
      <c r="B4" s="345" t="s">
        <v>0</v>
      </c>
      <c r="C4" s="59"/>
      <c r="D4" s="59"/>
      <c r="E4" s="59"/>
      <c r="F4" s="59"/>
      <c r="G4" s="59"/>
      <c r="H4" s="59"/>
      <c r="I4" s="59"/>
      <c r="J4" s="59"/>
      <c r="K4" s="60"/>
      <c r="L4" s="59"/>
      <c r="M4" s="59"/>
      <c r="N4" s="59"/>
      <c r="O4" s="59"/>
      <c r="P4" s="59"/>
      <c r="Q4" s="59"/>
      <c r="R4" s="59"/>
      <c r="S4" s="59"/>
      <c r="T4" s="59"/>
      <c r="U4" s="59"/>
      <c r="V4" s="59"/>
      <c r="W4" s="59"/>
      <c r="X4" s="59"/>
      <c r="Y4" s="59"/>
      <c r="Z4" s="59"/>
      <c r="AA4" s="226"/>
    </row>
    <row r="5" spans="2:27" ht="18" x14ac:dyDescent="0.25">
      <c r="B5" s="344" t="s">
        <v>268</v>
      </c>
      <c r="C5" s="57"/>
      <c r="D5" s="57"/>
      <c r="E5" s="57"/>
      <c r="F5" s="57"/>
      <c r="G5" s="57"/>
      <c r="H5" s="57"/>
      <c r="I5" s="57"/>
      <c r="J5" s="57"/>
      <c r="K5" s="58"/>
      <c r="L5" s="57"/>
      <c r="M5" s="57"/>
      <c r="N5" s="57"/>
      <c r="O5" s="57"/>
      <c r="P5" s="57"/>
      <c r="Q5" s="57"/>
      <c r="R5" s="57"/>
      <c r="S5" s="57"/>
      <c r="T5" s="57"/>
      <c r="U5" s="57"/>
      <c r="V5" s="57"/>
      <c r="W5" s="57"/>
      <c r="X5" s="57"/>
      <c r="Y5" s="57"/>
      <c r="Z5" s="57"/>
      <c r="AA5" s="226"/>
    </row>
    <row r="6" spans="2:27" ht="15.75" x14ac:dyDescent="0.25">
      <c r="C6" s="58"/>
      <c r="D6" s="58"/>
      <c r="E6" s="58"/>
      <c r="F6" s="58"/>
      <c r="G6" s="58"/>
      <c r="H6" s="58"/>
      <c r="I6" s="58"/>
      <c r="J6" s="58"/>
      <c r="K6" s="58"/>
      <c r="L6" s="58"/>
      <c r="M6" s="57"/>
      <c r="N6" s="57"/>
      <c r="O6" s="57"/>
      <c r="P6" s="57"/>
      <c r="Q6" s="57"/>
      <c r="R6" s="57"/>
      <c r="S6" s="57"/>
      <c r="T6" s="57"/>
      <c r="U6" s="57"/>
      <c r="V6" s="57"/>
      <c r="W6" s="57"/>
      <c r="X6" s="57"/>
      <c r="Y6" s="57"/>
      <c r="Z6" s="57"/>
      <c r="AA6" s="57"/>
    </row>
    <row r="7" spans="2:27" ht="15.75" x14ac:dyDescent="0.25">
      <c r="B7" s="397" t="s">
        <v>2</v>
      </c>
      <c r="C7" s="397"/>
      <c r="D7" s="54" t="str">
        <f>IF(ISBLANK('1. Information'!D6),"",'1. Information'!D6)</f>
        <v>Shasta</v>
      </c>
      <c r="F7" s="204" t="s">
        <v>3</v>
      </c>
      <c r="G7" s="227">
        <f ca="1">IF(ISBLANK('1. Information'!D5),"",'1. Information'!D5)</f>
        <v>44144.476150462964</v>
      </c>
      <c r="H7" s="229"/>
      <c r="I7" s="229"/>
      <c r="J7" s="58"/>
      <c r="K7" s="58"/>
      <c r="L7" s="58"/>
      <c r="M7" s="58"/>
      <c r="N7" s="58"/>
      <c r="O7" s="58"/>
      <c r="P7" s="58"/>
      <c r="Q7" s="58"/>
      <c r="R7" s="58"/>
      <c r="S7" s="58"/>
      <c r="T7" s="58"/>
      <c r="U7" s="58"/>
      <c r="V7" s="58"/>
      <c r="W7" s="58"/>
      <c r="X7" s="58"/>
      <c r="Y7" s="58"/>
      <c r="Z7" s="58"/>
      <c r="AA7" s="58"/>
    </row>
    <row r="8" spans="2:27" ht="15.75" x14ac:dyDescent="0.25">
      <c r="B8" s="15"/>
      <c r="C8" s="15"/>
      <c r="D8" s="15"/>
      <c r="F8" s="15"/>
      <c r="G8" s="229"/>
      <c r="H8" s="229"/>
      <c r="I8" s="229"/>
      <c r="J8" s="58"/>
      <c r="K8" s="58"/>
      <c r="L8" s="58"/>
      <c r="M8" s="58"/>
      <c r="N8" s="58"/>
      <c r="O8" s="58"/>
      <c r="P8" s="58"/>
      <c r="Q8" s="58"/>
      <c r="R8" s="58"/>
      <c r="S8" s="58"/>
      <c r="T8" s="58"/>
      <c r="U8" s="58"/>
      <c r="V8" s="58"/>
      <c r="W8" s="58"/>
      <c r="X8" s="58"/>
      <c r="Y8" s="58"/>
      <c r="Z8" s="58"/>
      <c r="AA8" s="58"/>
    </row>
    <row r="9" spans="2:27" ht="18.75" thickBot="1" x14ac:dyDescent="0.3">
      <c r="B9" s="346" t="s">
        <v>280</v>
      </c>
      <c r="C9" s="105"/>
      <c r="D9" s="105"/>
      <c r="E9" s="232"/>
      <c r="F9" s="230"/>
      <c r="G9" s="230"/>
      <c r="H9" s="231"/>
      <c r="I9" s="231"/>
      <c r="J9" s="106"/>
      <c r="K9" s="106"/>
      <c r="L9" s="106"/>
      <c r="M9" s="106"/>
      <c r="N9" s="106"/>
      <c r="O9" s="106"/>
      <c r="P9" s="106"/>
      <c r="Q9" s="106"/>
      <c r="R9" s="106"/>
      <c r="S9" s="106"/>
      <c r="T9" s="106"/>
      <c r="U9" s="106"/>
      <c r="V9" s="58"/>
      <c r="W9" s="58"/>
      <c r="X9" s="58"/>
      <c r="Y9" s="58"/>
      <c r="Z9" s="58"/>
      <c r="AA9" s="58"/>
    </row>
    <row r="10" spans="2:27" ht="16.5" thickTop="1" x14ac:dyDescent="0.25">
      <c r="B10" s="61"/>
      <c r="C10" s="15"/>
      <c r="D10" s="15"/>
      <c r="F10" s="226"/>
      <c r="G10" s="226"/>
      <c r="H10" s="229"/>
      <c r="I10" s="229"/>
      <c r="J10" s="58"/>
      <c r="K10" s="58"/>
      <c r="L10" s="58"/>
      <c r="M10" s="58"/>
      <c r="N10" s="58"/>
      <c r="O10" s="58"/>
      <c r="P10" s="58"/>
      <c r="Q10" s="58"/>
      <c r="R10" s="58"/>
      <c r="S10" s="58"/>
      <c r="T10" s="58"/>
      <c r="U10" s="58"/>
      <c r="V10" s="58"/>
      <c r="W10" s="58"/>
      <c r="X10" s="58"/>
      <c r="Y10" s="58"/>
      <c r="Z10" s="58"/>
      <c r="AA10" s="58"/>
    </row>
    <row r="11" spans="2:27" ht="15.75" x14ac:dyDescent="0.25">
      <c r="B11" s="15"/>
      <c r="C11" s="15"/>
      <c r="D11" s="15"/>
      <c r="F11" s="124" t="s">
        <v>59</v>
      </c>
      <c r="G11" s="293" t="s">
        <v>61</v>
      </c>
      <c r="H11" s="234" t="s">
        <v>65</v>
      </c>
      <c r="I11" s="234" t="s">
        <v>245</v>
      </c>
      <c r="J11" s="128" t="s">
        <v>246</v>
      </c>
      <c r="K11" s="111" t="s">
        <v>247</v>
      </c>
      <c r="L11" s="73" t="s">
        <v>256</v>
      </c>
      <c r="M11" s="73" t="s">
        <v>248</v>
      </c>
      <c r="N11" s="73" t="s">
        <v>249</v>
      </c>
      <c r="O11" s="73" t="s">
        <v>250</v>
      </c>
      <c r="P11" s="73" t="s">
        <v>251</v>
      </c>
      <c r="Q11" s="73" t="s">
        <v>252</v>
      </c>
      <c r="R11" s="73" t="s">
        <v>253</v>
      </c>
      <c r="S11" s="73" t="s">
        <v>254</v>
      </c>
      <c r="T11" s="73" t="s">
        <v>255</v>
      </c>
      <c r="U11" s="73" t="s">
        <v>257</v>
      </c>
      <c r="V11" s="58"/>
      <c r="W11" s="58"/>
      <c r="X11" s="58"/>
      <c r="Y11" s="58"/>
      <c r="Z11" s="58"/>
      <c r="AA11" s="58"/>
    </row>
    <row r="12" spans="2:27" ht="15.75" x14ac:dyDescent="0.25">
      <c r="B12" s="226"/>
      <c r="C12" s="7"/>
      <c r="D12" s="62"/>
      <c r="E12" s="62"/>
      <c r="F12" s="125"/>
      <c r="G12" s="431" t="s">
        <v>62</v>
      </c>
      <c r="H12" s="431"/>
      <c r="I12" s="431"/>
      <c r="J12" s="432"/>
      <c r="K12" s="439" t="s">
        <v>147</v>
      </c>
      <c r="L12" s="439"/>
      <c r="M12" s="439"/>
      <c r="N12" s="439"/>
      <c r="O12" s="439"/>
      <c r="P12" s="439"/>
      <c r="Q12" s="439"/>
      <c r="R12" s="439"/>
      <c r="S12" s="439"/>
      <c r="T12" s="439"/>
      <c r="U12" s="440"/>
      <c r="V12" s="63"/>
      <c r="W12" s="58"/>
      <c r="X12" s="58"/>
      <c r="Y12" s="58"/>
      <c r="Z12" s="58"/>
      <c r="AA12" s="58"/>
    </row>
    <row r="13" spans="2:27" ht="65.25" customHeight="1" x14ac:dyDescent="0.25">
      <c r="B13" s="226"/>
      <c r="C13" s="444"/>
      <c r="D13" s="444"/>
      <c r="E13" s="444"/>
      <c r="F13" s="126" t="s">
        <v>192</v>
      </c>
      <c r="G13" s="112" t="s">
        <v>7</v>
      </c>
      <c r="H13" s="75" t="s">
        <v>8</v>
      </c>
      <c r="I13" s="75" t="s">
        <v>63</v>
      </c>
      <c r="J13" s="118" t="s">
        <v>10</v>
      </c>
      <c r="K13" s="127" t="s">
        <v>232</v>
      </c>
      <c r="L13" s="75" t="s">
        <v>190</v>
      </c>
      <c r="M13" s="79" t="s">
        <v>24</v>
      </c>
      <c r="N13" s="79" t="s">
        <v>25</v>
      </c>
      <c r="O13" s="80" t="s">
        <v>26</v>
      </c>
      <c r="P13" s="80" t="s">
        <v>27</v>
      </c>
      <c r="Q13" s="80" t="s">
        <v>28</v>
      </c>
      <c r="R13" s="79" t="s">
        <v>29</v>
      </c>
      <c r="S13" s="79" t="s">
        <v>30</v>
      </c>
      <c r="T13" s="79" t="s">
        <v>31</v>
      </c>
      <c r="U13" s="79" t="s">
        <v>139</v>
      </c>
      <c r="V13" s="58"/>
      <c r="W13" s="58"/>
      <c r="X13" s="58"/>
      <c r="Y13" s="58"/>
      <c r="Z13" s="58"/>
      <c r="AA13" s="226"/>
    </row>
    <row r="14" spans="2:27" ht="15.75" x14ac:dyDescent="0.25">
      <c r="B14" s="218">
        <v>1</v>
      </c>
      <c r="C14" s="404" t="s">
        <v>142</v>
      </c>
      <c r="D14" s="404"/>
      <c r="E14" s="404"/>
      <c r="F14" s="122">
        <f>SUM(G14:J14,K14)</f>
        <v>0</v>
      </c>
      <c r="G14" s="113"/>
      <c r="H14" s="77"/>
      <c r="I14" s="77"/>
      <c r="J14" s="119"/>
      <c r="K14" s="78">
        <f t="shared" ref="K14:K19" si="0">SUM(L14,M14:U14)</f>
        <v>0</v>
      </c>
      <c r="L14" s="77"/>
      <c r="M14" s="77"/>
      <c r="N14" s="77"/>
      <c r="O14" s="77"/>
      <c r="P14" s="77"/>
      <c r="Q14" s="77"/>
      <c r="R14" s="77"/>
      <c r="S14" s="77"/>
      <c r="T14" s="77"/>
      <c r="U14" s="77"/>
      <c r="V14" s="58"/>
      <c r="W14" s="58"/>
      <c r="X14" s="58"/>
      <c r="Y14" s="58"/>
      <c r="Z14" s="58"/>
      <c r="AA14" s="226"/>
    </row>
    <row r="15" spans="2:27" ht="15.75" x14ac:dyDescent="0.25">
      <c r="B15" s="218">
        <v>2</v>
      </c>
      <c r="C15" s="404" t="s">
        <v>143</v>
      </c>
      <c r="D15" s="404"/>
      <c r="E15" s="404"/>
      <c r="F15" s="122">
        <f>SUM(G15:J15,K15)</f>
        <v>0</v>
      </c>
      <c r="G15" s="113"/>
      <c r="H15" s="77"/>
      <c r="I15" s="77"/>
      <c r="J15" s="119"/>
      <c r="K15" s="78">
        <f t="shared" si="0"/>
        <v>0</v>
      </c>
      <c r="L15" s="77"/>
      <c r="M15" s="77"/>
      <c r="N15" s="77"/>
      <c r="O15" s="77"/>
      <c r="P15" s="77"/>
      <c r="Q15" s="77"/>
      <c r="R15" s="77"/>
      <c r="S15" s="77"/>
      <c r="T15" s="77"/>
      <c r="U15" s="77"/>
      <c r="V15" s="58"/>
      <c r="W15" s="58"/>
      <c r="X15" s="58"/>
      <c r="Y15" s="58"/>
      <c r="Z15" s="58"/>
      <c r="AA15" s="226"/>
    </row>
    <row r="16" spans="2:27" ht="15.75" x14ac:dyDescent="0.25">
      <c r="B16" s="218">
        <v>3</v>
      </c>
      <c r="C16" s="404" t="s">
        <v>144</v>
      </c>
      <c r="D16" s="404"/>
      <c r="E16" s="404"/>
      <c r="F16" s="122">
        <f>SUM(G16:J16,K16)</f>
        <v>202147</v>
      </c>
      <c r="G16" s="114">
        <f>SUMIF($J$28:$J$87,"Project Administration",L$28:L$87)</f>
        <v>0</v>
      </c>
      <c r="H16" s="76">
        <f>SUMIF($J$28:$J$87,"Project Administration",M$28:M$87)</f>
        <v>0</v>
      </c>
      <c r="I16" s="76">
        <f>SUMIF($J$28:$J$87,"Project Administration",N$28:N$87)</f>
        <v>0</v>
      </c>
      <c r="J16" s="120">
        <f>SUMIF($J$28:$J$87,"Project Administration",O$28:O$87)</f>
        <v>0</v>
      </c>
      <c r="K16" s="115">
        <f t="shared" si="0"/>
        <v>202147</v>
      </c>
      <c r="L16" s="76">
        <f t="shared" ref="L16:U16" si="1">SUMIF($J$28:$J$87,"Project Administration",Q$28:Q$87)</f>
        <v>19818</v>
      </c>
      <c r="M16" s="76">
        <f t="shared" si="1"/>
        <v>182329</v>
      </c>
      <c r="N16" s="76">
        <f t="shared" si="1"/>
        <v>0</v>
      </c>
      <c r="O16" s="76">
        <f t="shared" si="1"/>
        <v>0</v>
      </c>
      <c r="P16" s="76">
        <f t="shared" si="1"/>
        <v>0</v>
      </c>
      <c r="Q16" s="76">
        <f t="shared" si="1"/>
        <v>0</v>
      </c>
      <c r="R16" s="76">
        <f t="shared" si="1"/>
        <v>0</v>
      </c>
      <c r="S16" s="76">
        <f t="shared" si="1"/>
        <v>0</v>
      </c>
      <c r="T16" s="76">
        <f t="shared" si="1"/>
        <v>0</v>
      </c>
      <c r="U16" s="76">
        <f t="shared" si="1"/>
        <v>0</v>
      </c>
      <c r="V16" s="58"/>
      <c r="W16" s="58"/>
      <c r="X16" s="58"/>
      <c r="Y16" s="58"/>
      <c r="Z16" s="58"/>
      <c r="AA16" s="226"/>
    </row>
    <row r="17" spans="2:27" ht="15.75" x14ac:dyDescent="0.25">
      <c r="B17" s="218">
        <v>4</v>
      </c>
      <c r="C17" s="404" t="s">
        <v>145</v>
      </c>
      <c r="D17" s="404"/>
      <c r="E17" s="404"/>
      <c r="F17" s="122">
        <f>SUM(G17:J17,K17)</f>
        <v>0</v>
      </c>
      <c r="G17" s="115">
        <f>SUMIF($J$28:$J$87,"Project Evaluation",L$28:L$87)</f>
        <v>0</v>
      </c>
      <c r="H17" s="66">
        <f>SUMIF($J$28:$J$87,"Project Evaluation",M$28:M$87)</f>
        <v>0</v>
      </c>
      <c r="I17" s="66">
        <f>SUMIF($J$28:$J$87,"Project Evaluation",N$28:N$87)</f>
        <v>0</v>
      </c>
      <c r="J17" s="121">
        <f>SUMIF($J$28:$J$87,"Project Evaluation",O$28:O$87)</f>
        <v>0</v>
      </c>
      <c r="K17" s="115">
        <f t="shared" si="0"/>
        <v>0</v>
      </c>
      <c r="L17" s="66">
        <f t="shared" ref="L17:T17" si="2">SUMIF($J$28:$J$87,"Project Evaluation",Q$28:Q$87)</f>
        <v>0</v>
      </c>
      <c r="M17" s="66">
        <f t="shared" si="2"/>
        <v>0</v>
      </c>
      <c r="N17" s="66">
        <f t="shared" si="2"/>
        <v>0</v>
      </c>
      <c r="O17" s="66">
        <f t="shared" si="2"/>
        <v>0</v>
      </c>
      <c r="P17" s="66">
        <f t="shared" si="2"/>
        <v>0</v>
      </c>
      <c r="Q17" s="66">
        <f t="shared" si="2"/>
        <v>0</v>
      </c>
      <c r="R17" s="66">
        <f t="shared" si="2"/>
        <v>0</v>
      </c>
      <c r="S17" s="66">
        <f t="shared" si="2"/>
        <v>0</v>
      </c>
      <c r="T17" s="66">
        <f t="shared" si="2"/>
        <v>0</v>
      </c>
      <c r="U17" s="66">
        <f>SUMIF($J$28:$J$53,"Project Evaluation",Z$28:Z$53)</f>
        <v>0</v>
      </c>
      <c r="V17" s="58"/>
      <c r="W17" s="58"/>
      <c r="X17" s="58"/>
      <c r="Y17" s="58"/>
      <c r="Z17" s="58"/>
      <c r="AA17" s="226"/>
    </row>
    <row r="18" spans="2:27" ht="15.75" x14ac:dyDescent="0.25">
      <c r="B18" s="218">
        <v>5</v>
      </c>
      <c r="C18" s="404" t="s">
        <v>230</v>
      </c>
      <c r="D18" s="404"/>
      <c r="E18" s="404"/>
      <c r="F18" s="122">
        <f>SUM(G18:J18,K18)</f>
        <v>0</v>
      </c>
      <c r="G18" s="115">
        <f>SUMIF($J$28:$J$87,"Project Direct",L$28:L$87)</f>
        <v>0</v>
      </c>
      <c r="H18" s="66">
        <f>SUMIF($J$28:$J$87,"Project Direct",M$28:M$87)</f>
        <v>0</v>
      </c>
      <c r="I18" s="66">
        <f>SUMIF($J$28:$J$87,"Project Direct",N$28:N$87)</f>
        <v>0</v>
      </c>
      <c r="J18" s="121">
        <f>SUMIF($J$28:$J$87,"Project Direct",O$28:O$87)</f>
        <v>0</v>
      </c>
      <c r="K18" s="115">
        <f t="shared" si="0"/>
        <v>0</v>
      </c>
      <c r="L18" s="66">
        <f t="shared" ref="L18:T18" si="3">SUMIF($J$28:$J$87,"Project Direct",Q$28:Q$87)</f>
        <v>0</v>
      </c>
      <c r="M18" s="66">
        <f t="shared" si="3"/>
        <v>0</v>
      </c>
      <c r="N18" s="66">
        <f t="shared" si="3"/>
        <v>0</v>
      </c>
      <c r="O18" s="66">
        <f t="shared" si="3"/>
        <v>0</v>
      </c>
      <c r="P18" s="66">
        <f t="shared" si="3"/>
        <v>0</v>
      </c>
      <c r="Q18" s="66">
        <f t="shared" si="3"/>
        <v>0</v>
      </c>
      <c r="R18" s="66">
        <f t="shared" si="3"/>
        <v>0</v>
      </c>
      <c r="S18" s="66">
        <f t="shared" si="3"/>
        <v>0</v>
      </c>
      <c r="T18" s="66">
        <f t="shared" si="3"/>
        <v>0</v>
      </c>
      <c r="U18" s="66">
        <f>SUMIF($J$28:$J$53,"Project Direct",Z$28:Z$53)</f>
        <v>0</v>
      </c>
      <c r="V18" s="58"/>
      <c r="W18" s="58"/>
      <c r="X18" s="58"/>
      <c r="Y18" s="58"/>
      <c r="Z18" s="58"/>
      <c r="AA18" s="226"/>
    </row>
    <row r="19" spans="2:27" ht="15.75" x14ac:dyDescent="0.25">
      <c r="B19" s="218">
        <v>6</v>
      </c>
      <c r="C19" s="443" t="s">
        <v>146</v>
      </c>
      <c r="D19" s="443"/>
      <c r="E19" s="443"/>
      <c r="F19" s="122">
        <f>SUM(F16:F18)</f>
        <v>202147</v>
      </c>
      <c r="G19" s="116">
        <f>SUM(G16:G18)</f>
        <v>0</v>
      </c>
      <c r="H19" s="65">
        <f>SUM(H16:H18)</f>
        <v>0</v>
      </c>
      <c r="I19" s="65">
        <f>SUM(I16:I18)</f>
        <v>0</v>
      </c>
      <c r="J19" s="122">
        <f>SUM(J16:J18)</f>
        <v>0</v>
      </c>
      <c r="K19" s="116">
        <f t="shared" si="0"/>
        <v>202147</v>
      </c>
      <c r="L19" s="65">
        <f t="shared" ref="L19:U19" si="4">SUM(L16:L18)</f>
        <v>19818</v>
      </c>
      <c r="M19" s="65">
        <f t="shared" si="4"/>
        <v>182329</v>
      </c>
      <c r="N19" s="65">
        <f t="shared" si="4"/>
        <v>0</v>
      </c>
      <c r="O19" s="65">
        <f t="shared" si="4"/>
        <v>0</v>
      </c>
      <c r="P19" s="65">
        <f t="shared" si="4"/>
        <v>0</v>
      </c>
      <c r="Q19" s="65">
        <f t="shared" si="4"/>
        <v>0</v>
      </c>
      <c r="R19" s="65">
        <f t="shared" si="4"/>
        <v>0</v>
      </c>
      <c r="S19" s="65">
        <f t="shared" si="4"/>
        <v>0</v>
      </c>
      <c r="T19" s="65">
        <f t="shared" si="4"/>
        <v>0</v>
      </c>
      <c r="U19" s="65">
        <f t="shared" si="4"/>
        <v>0</v>
      </c>
      <c r="V19" s="58"/>
      <c r="W19" s="58"/>
      <c r="X19" s="58"/>
      <c r="Y19" s="58"/>
      <c r="Z19" s="58"/>
      <c r="AA19" s="226"/>
    </row>
    <row r="20" spans="2:27" ht="30.95" customHeight="1" x14ac:dyDescent="0.25">
      <c r="B20" s="218">
        <v>7</v>
      </c>
      <c r="C20" s="435" t="s">
        <v>231</v>
      </c>
      <c r="D20" s="435"/>
      <c r="E20" s="435"/>
      <c r="F20" s="122">
        <f t="shared" ref="F20:U20" si="5">SUM(F14:F15,F16:F18)</f>
        <v>202147</v>
      </c>
      <c r="G20" s="117">
        <f t="shared" si="5"/>
        <v>0</v>
      </c>
      <c r="H20" s="67">
        <f t="shared" si="5"/>
        <v>0</v>
      </c>
      <c r="I20" s="67">
        <f t="shared" si="5"/>
        <v>0</v>
      </c>
      <c r="J20" s="123">
        <f t="shared" si="5"/>
        <v>0</v>
      </c>
      <c r="K20" s="117">
        <f t="shared" si="5"/>
        <v>202147</v>
      </c>
      <c r="L20" s="67">
        <f t="shared" si="5"/>
        <v>19818</v>
      </c>
      <c r="M20" s="67">
        <f t="shared" si="5"/>
        <v>182329</v>
      </c>
      <c r="N20" s="67">
        <f t="shared" si="5"/>
        <v>0</v>
      </c>
      <c r="O20" s="67">
        <f t="shared" si="5"/>
        <v>0</v>
      </c>
      <c r="P20" s="67">
        <f t="shared" si="5"/>
        <v>0</v>
      </c>
      <c r="Q20" s="67">
        <f t="shared" si="5"/>
        <v>0</v>
      </c>
      <c r="R20" s="67">
        <f t="shared" si="5"/>
        <v>0</v>
      </c>
      <c r="S20" s="67">
        <f t="shared" si="5"/>
        <v>0</v>
      </c>
      <c r="T20" s="67">
        <f t="shared" si="5"/>
        <v>0</v>
      </c>
      <c r="U20" s="67">
        <f t="shared" si="5"/>
        <v>0</v>
      </c>
      <c r="V20" s="58"/>
      <c r="W20" s="58"/>
      <c r="X20" s="58"/>
      <c r="Y20" s="58"/>
      <c r="Z20" s="58"/>
      <c r="AA20" s="226"/>
    </row>
    <row r="21" spans="2:27" ht="30.95" customHeight="1" x14ac:dyDescent="0.25">
      <c r="B21" s="218">
        <v>8</v>
      </c>
      <c r="C21" s="435" t="s">
        <v>206</v>
      </c>
      <c r="D21" s="435"/>
      <c r="E21" s="435"/>
      <c r="F21" s="239"/>
      <c r="G21" s="245"/>
      <c r="H21" s="246"/>
      <c r="I21" s="246"/>
      <c r="J21" s="239"/>
      <c r="K21" s="245">
        <f>SUM(L21,M21:U21)</f>
        <v>2992762</v>
      </c>
      <c r="L21" s="246">
        <f>'2. Component Summary'!F27+'2. Component Summary'!F32</f>
        <v>30603</v>
      </c>
      <c r="M21" s="246">
        <f>'2. Component Summary'!F30+'2. Component Summary'!F31</f>
        <v>438050</v>
      </c>
      <c r="N21" s="246">
        <f>'2. Component Summary'!F26</f>
        <v>347240</v>
      </c>
      <c r="O21" s="246">
        <f>'2. Component Summary'!F25</f>
        <v>415144</v>
      </c>
      <c r="P21" s="246">
        <f>'2. Component Summary'!F24</f>
        <v>299962</v>
      </c>
      <c r="Q21" s="246">
        <f>'2. Component Summary'!F23</f>
        <v>385867</v>
      </c>
      <c r="R21" s="246">
        <f>'2. Component Summary'!F22</f>
        <v>233494</v>
      </c>
      <c r="S21" s="246">
        <f>'2. Component Summary'!F21</f>
        <v>842402</v>
      </c>
      <c r="T21" s="246">
        <f>'2. Component Summary'!F20</f>
        <v>0</v>
      </c>
      <c r="U21" s="246">
        <f>'2. Component Summary'!F19</f>
        <v>0</v>
      </c>
      <c r="V21" s="226"/>
      <c r="W21" s="226"/>
      <c r="X21" s="226"/>
      <c r="Y21" s="226"/>
      <c r="Z21" s="226"/>
      <c r="AA21" s="226"/>
    </row>
    <row r="22" spans="2:27" x14ac:dyDescent="0.2">
      <c r="B22" s="226"/>
      <c r="C22" s="226"/>
      <c r="D22" s="226"/>
      <c r="E22" s="226"/>
      <c r="F22" s="226"/>
      <c r="G22" s="226"/>
      <c r="H22" s="226"/>
      <c r="I22" s="226"/>
      <c r="J22" s="226"/>
      <c r="K22" s="226"/>
      <c r="L22" s="226"/>
      <c r="M22" s="226"/>
      <c r="N22" s="226"/>
      <c r="O22" s="226"/>
      <c r="P22" s="226"/>
      <c r="Q22" s="226"/>
      <c r="R22" s="226"/>
      <c r="S22" s="226"/>
      <c r="T22" s="226"/>
      <c r="U22" s="226"/>
      <c r="V22" s="226"/>
      <c r="W22" s="226"/>
      <c r="X22" s="226"/>
      <c r="Y22" s="226"/>
      <c r="Z22" s="226"/>
      <c r="AA22" s="226"/>
    </row>
    <row r="23" spans="2:27" ht="18.75" thickBot="1" x14ac:dyDescent="0.3">
      <c r="B23" s="342" t="s">
        <v>281</v>
      </c>
      <c r="C23" s="230"/>
      <c r="D23" s="230"/>
      <c r="E23" s="230"/>
      <c r="F23" s="230"/>
      <c r="G23" s="230"/>
      <c r="H23" s="230"/>
      <c r="I23" s="230"/>
      <c r="J23" s="230"/>
      <c r="K23" s="230"/>
      <c r="L23" s="230"/>
      <c r="M23" s="230"/>
      <c r="N23" s="230"/>
      <c r="O23" s="230"/>
      <c r="P23" s="230"/>
      <c r="Q23" s="230"/>
      <c r="R23" s="230"/>
      <c r="S23" s="230"/>
      <c r="T23" s="230"/>
      <c r="U23" s="230"/>
      <c r="V23" s="230"/>
      <c r="W23" s="230"/>
      <c r="X23" s="230"/>
      <c r="Y23" s="230"/>
      <c r="Z23" s="230"/>
      <c r="AA23" s="226"/>
    </row>
    <row r="24" spans="2:27" ht="15.75" thickTop="1" x14ac:dyDescent="0.2">
      <c r="B24" s="226"/>
      <c r="C24" s="226"/>
      <c r="D24" s="226"/>
      <c r="E24" s="226"/>
      <c r="F24" s="226"/>
      <c r="G24" s="226"/>
      <c r="H24" s="226"/>
      <c r="I24" s="226"/>
      <c r="J24" s="226"/>
      <c r="K24" s="226"/>
      <c r="L24" s="226"/>
      <c r="M24" s="226"/>
      <c r="N24" s="226"/>
      <c r="O24" s="226"/>
      <c r="P24" s="226"/>
      <c r="Q24" s="226"/>
      <c r="R24" s="226"/>
      <c r="S24" s="226"/>
      <c r="T24" s="226"/>
      <c r="U24" s="226"/>
      <c r="V24" s="226"/>
      <c r="W24" s="226"/>
      <c r="X24" s="226"/>
      <c r="Y24" s="226"/>
      <c r="Z24" s="226"/>
      <c r="AA24" s="226"/>
    </row>
    <row r="25" spans="2:27" x14ac:dyDescent="0.2">
      <c r="B25" s="226"/>
      <c r="C25" s="218" t="s">
        <v>59</v>
      </c>
      <c r="D25" s="218" t="s">
        <v>61</v>
      </c>
      <c r="E25" s="218" t="s">
        <v>65</v>
      </c>
      <c r="F25" s="218" t="s">
        <v>245</v>
      </c>
      <c r="G25" s="218" t="s">
        <v>246</v>
      </c>
      <c r="H25" s="218" t="s">
        <v>247</v>
      </c>
      <c r="I25" s="218" t="s">
        <v>256</v>
      </c>
      <c r="J25" s="218" t="s">
        <v>248</v>
      </c>
      <c r="K25" s="233" t="s">
        <v>249</v>
      </c>
      <c r="L25" s="257" t="s">
        <v>250</v>
      </c>
      <c r="M25" s="218" t="s">
        <v>251</v>
      </c>
      <c r="N25" s="218" t="s">
        <v>252</v>
      </c>
      <c r="O25" s="233" t="s">
        <v>253</v>
      </c>
      <c r="P25" s="257" t="s">
        <v>254</v>
      </c>
      <c r="Q25" s="218" t="s">
        <v>255</v>
      </c>
      <c r="R25" s="218" t="s">
        <v>257</v>
      </c>
      <c r="S25" s="218" t="s">
        <v>259</v>
      </c>
      <c r="T25" s="218" t="s">
        <v>260</v>
      </c>
      <c r="U25" s="218" t="s">
        <v>261</v>
      </c>
      <c r="V25" s="218" t="s">
        <v>262</v>
      </c>
      <c r="W25" s="218" t="s">
        <v>264</v>
      </c>
      <c r="X25" s="218" t="s">
        <v>265</v>
      </c>
      <c r="Y25" s="218" t="s">
        <v>266</v>
      </c>
      <c r="Z25" s="218" t="s">
        <v>223</v>
      </c>
      <c r="AA25" s="226"/>
    </row>
    <row r="26" spans="2:27" ht="15.75" x14ac:dyDescent="0.25">
      <c r="B26" s="74"/>
      <c r="C26" s="438" t="s">
        <v>150</v>
      </c>
      <c r="D26" s="438"/>
      <c r="E26" s="438"/>
      <c r="F26" s="438"/>
      <c r="G26" s="438"/>
      <c r="H26" s="438"/>
      <c r="I26" s="438"/>
      <c r="J26" s="438"/>
      <c r="K26" s="132"/>
      <c r="L26" s="441" t="s">
        <v>62</v>
      </c>
      <c r="M26" s="441"/>
      <c r="N26" s="441"/>
      <c r="O26" s="442"/>
      <c r="P26" s="436" t="s">
        <v>60</v>
      </c>
      <c r="Q26" s="437"/>
      <c r="R26" s="437"/>
      <c r="S26" s="437"/>
      <c r="T26" s="437"/>
      <c r="U26" s="437"/>
      <c r="V26" s="437"/>
      <c r="W26" s="437"/>
      <c r="X26" s="437"/>
      <c r="Y26" s="437"/>
      <c r="Z26" s="437"/>
      <c r="AA26" s="14"/>
    </row>
    <row r="27" spans="2:27" ht="78.75" x14ac:dyDescent="0.2">
      <c r="B27" s="294" t="s">
        <v>112</v>
      </c>
      <c r="C27" s="68" t="s">
        <v>20</v>
      </c>
      <c r="D27" s="81" t="s">
        <v>22</v>
      </c>
      <c r="E27" s="75" t="s">
        <v>36</v>
      </c>
      <c r="F27" s="75" t="s">
        <v>138</v>
      </c>
      <c r="G27" s="75" t="s">
        <v>23</v>
      </c>
      <c r="H27" s="75" t="s">
        <v>135</v>
      </c>
      <c r="I27" s="75" t="s">
        <v>136</v>
      </c>
      <c r="J27" s="64" t="s">
        <v>137</v>
      </c>
      <c r="K27" s="126" t="s">
        <v>157</v>
      </c>
      <c r="L27" s="129" t="s">
        <v>7</v>
      </c>
      <c r="M27" s="80" t="s">
        <v>8</v>
      </c>
      <c r="N27" s="80" t="s">
        <v>32</v>
      </c>
      <c r="O27" s="133" t="s">
        <v>33</v>
      </c>
      <c r="P27" s="212" t="s">
        <v>233</v>
      </c>
      <c r="Q27" s="80" t="s">
        <v>190</v>
      </c>
      <c r="R27" s="75" t="s">
        <v>24</v>
      </c>
      <c r="S27" s="75" t="s">
        <v>25</v>
      </c>
      <c r="T27" s="75" t="s">
        <v>26</v>
      </c>
      <c r="U27" s="75" t="s">
        <v>27</v>
      </c>
      <c r="V27" s="75" t="s">
        <v>28</v>
      </c>
      <c r="W27" s="75" t="s">
        <v>29</v>
      </c>
      <c r="X27" s="75" t="s">
        <v>30</v>
      </c>
      <c r="Y27" s="75" t="s">
        <v>31</v>
      </c>
      <c r="Z27" s="80" t="s">
        <v>139</v>
      </c>
      <c r="AA27" s="226"/>
    </row>
    <row r="28" spans="2:27" x14ac:dyDescent="0.2">
      <c r="B28" s="251">
        <v>1</v>
      </c>
      <c r="C28" s="295" t="e">
        <f>IF(AND(NOT(COUNTA(D28:I28)),(NOT(COUNTA(L28:O28))),(NOT(COUNTA(R28:Z28)))),"",VLOOKUP($D$7,Info_County_Code,2,FALSE))</f>
        <v>#REF!</v>
      </c>
      <c r="D28" s="384" t="s">
        <v>333</v>
      </c>
      <c r="E28" s="296"/>
      <c r="F28" s="296">
        <v>42370</v>
      </c>
      <c r="G28" s="296">
        <v>42795</v>
      </c>
      <c r="H28" s="241">
        <v>748250</v>
      </c>
      <c r="I28" s="241"/>
      <c r="J28" s="245" t="s">
        <v>140</v>
      </c>
      <c r="K28" s="239">
        <f t="shared" ref="K28:K87" si="6">SUM(L28:O28,P28)</f>
        <v>202147</v>
      </c>
      <c r="L28" s="247"/>
      <c r="M28" s="241"/>
      <c r="N28" s="241"/>
      <c r="O28" s="242"/>
      <c r="P28" s="243">
        <f>SUM(Q28,R28:Z28)</f>
        <v>202147</v>
      </c>
      <c r="Q28" s="241">
        <v>19818</v>
      </c>
      <c r="R28" s="241">
        <v>182329</v>
      </c>
      <c r="S28" s="241"/>
      <c r="T28" s="241"/>
      <c r="U28" s="241"/>
      <c r="V28" s="241"/>
      <c r="W28" s="241"/>
      <c r="X28" s="241"/>
      <c r="Y28" s="241"/>
      <c r="Z28" s="241"/>
      <c r="AA28" s="226"/>
    </row>
    <row r="29" spans="2:27" x14ac:dyDescent="0.2">
      <c r="B29" s="251">
        <v>1</v>
      </c>
      <c r="C29" s="297" t="e">
        <f t="shared" ref="C29:I30" si="7">IF(ISBLANK(C28),"",C28)</f>
        <v>#REF!</v>
      </c>
      <c r="D29" s="298" t="str">
        <f t="shared" si="7"/>
        <v>Mental Health Center</v>
      </c>
      <c r="E29" s="299" t="str">
        <f t="shared" si="7"/>
        <v/>
      </c>
      <c r="F29" s="299">
        <f t="shared" si="7"/>
        <v>42370</v>
      </c>
      <c r="G29" s="299">
        <f t="shared" si="7"/>
        <v>42795</v>
      </c>
      <c r="H29" s="249">
        <f t="shared" si="7"/>
        <v>748250</v>
      </c>
      <c r="I29" s="249" t="str">
        <f t="shared" si="7"/>
        <v/>
      </c>
      <c r="J29" s="246" t="s">
        <v>141</v>
      </c>
      <c r="K29" s="239">
        <f t="shared" si="6"/>
        <v>0</v>
      </c>
      <c r="L29" s="247"/>
      <c r="M29" s="241"/>
      <c r="N29" s="241"/>
      <c r="O29" s="242"/>
      <c r="P29" s="243">
        <f t="shared" ref="P29:P87" si="8">SUM(Q29,R29:Z29)</f>
        <v>0</v>
      </c>
      <c r="Q29" s="241"/>
      <c r="R29" s="241"/>
      <c r="S29" s="241"/>
      <c r="T29" s="241"/>
      <c r="U29" s="241"/>
      <c r="V29" s="241"/>
      <c r="W29" s="241"/>
      <c r="X29" s="241"/>
      <c r="Y29" s="241"/>
      <c r="Z29" s="241"/>
      <c r="AA29" s="226"/>
    </row>
    <row r="30" spans="2:27" x14ac:dyDescent="0.2">
      <c r="B30" s="251">
        <v>1</v>
      </c>
      <c r="C30" s="297" t="e">
        <f t="shared" ref="C30:H30" si="9">IF(ISBLANK(C28),"",C28)</f>
        <v>#REF!</v>
      </c>
      <c r="D30" s="300" t="str">
        <f t="shared" si="9"/>
        <v>Mental Health Center</v>
      </c>
      <c r="E30" s="301" t="str">
        <f t="shared" si="9"/>
        <v/>
      </c>
      <c r="F30" s="301">
        <f t="shared" si="9"/>
        <v>42370</v>
      </c>
      <c r="G30" s="301">
        <f t="shared" si="9"/>
        <v>42795</v>
      </c>
      <c r="H30" s="246">
        <f t="shared" si="9"/>
        <v>748250</v>
      </c>
      <c r="I30" s="246" t="str">
        <f t="shared" si="7"/>
        <v/>
      </c>
      <c r="J30" s="246" t="s">
        <v>234</v>
      </c>
      <c r="K30" s="239">
        <f t="shared" si="6"/>
        <v>0</v>
      </c>
      <c r="L30" s="247"/>
      <c r="M30" s="241"/>
      <c r="N30" s="241"/>
      <c r="O30" s="242"/>
      <c r="P30" s="243">
        <f t="shared" si="8"/>
        <v>0</v>
      </c>
      <c r="Q30" s="241"/>
      <c r="R30" s="241"/>
      <c r="S30" s="241"/>
      <c r="T30" s="241"/>
      <c r="U30" s="241"/>
      <c r="V30" s="241"/>
      <c r="W30" s="241"/>
      <c r="X30" s="241"/>
      <c r="Y30" s="241"/>
      <c r="Z30" s="241"/>
      <c r="AA30" s="226"/>
    </row>
    <row r="31" spans="2:27" ht="15.75" x14ac:dyDescent="0.25">
      <c r="B31" s="209">
        <v>1</v>
      </c>
      <c r="C31" s="69" t="e">
        <f t="shared" ref="C31:I31" si="10">IF(ISBLANK(C28),"",C28)</f>
        <v>#REF!</v>
      </c>
      <c r="D31" s="82" t="str">
        <f t="shared" si="10"/>
        <v>Mental Health Center</v>
      </c>
      <c r="E31" s="83" t="str">
        <f t="shared" si="10"/>
        <v/>
      </c>
      <c r="F31" s="83">
        <f t="shared" si="10"/>
        <v>42370</v>
      </c>
      <c r="G31" s="83">
        <f t="shared" si="10"/>
        <v>42795</v>
      </c>
      <c r="H31" s="84">
        <f t="shared" si="10"/>
        <v>748250</v>
      </c>
      <c r="I31" s="84" t="str">
        <f t="shared" si="10"/>
        <v/>
      </c>
      <c r="J31" s="52" t="s">
        <v>284</v>
      </c>
      <c r="K31" s="110">
        <f t="shared" si="6"/>
        <v>202147</v>
      </c>
      <c r="L31" s="130">
        <f>SUM(L28:L30)</f>
        <v>0</v>
      </c>
      <c r="M31" s="85">
        <f>SUM(M28:M30)</f>
        <v>0</v>
      </c>
      <c r="N31" s="85">
        <f>SUM(N28:N30)</f>
        <v>0</v>
      </c>
      <c r="O31" s="134">
        <f>SUM(O28:O30)</f>
        <v>0</v>
      </c>
      <c r="P31" s="108">
        <f t="shared" si="8"/>
        <v>202147</v>
      </c>
      <c r="Q31" s="85">
        <f t="shared" ref="Q31:Z31" si="11">SUM(Q28:Q30)</f>
        <v>19818</v>
      </c>
      <c r="R31" s="85">
        <f t="shared" si="11"/>
        <v>182329</v>
      </c>
      <c r="S31" s="85">
        <f t="shared" si="11"/>
        <v>0</v>
      </c>
      <c r="T31" s="85">
        <f t="shared" si="11"/>
        <v>0</v>
      </c>
      <c r="U31" s="85">
        <f t="shared" si="11"/>
        <v>0</v>
      </c>
      <c r="V31" s="85">
        <f t="shared" si="11"/>
        <v>0</v>
      </c>
      <c r="W31" s="85">
        <f t="shared" si="11"/>
        <v>0</v>
      </c>
      <c r="X31" s="85">
        <f t="shared" si="11"/>
        <v>0</v>
      </c>
      <c r="Y31" s="85">
        <f t="shared" si="11"/>
        <v>0</v>
      </c>
      <c r="Z31" s="85">
        <f t="shared" si="11"/>
        <v>0</v>
      </c>
      <c r="AA31" s="226"/>
    </row>
    <row r="32" spans="2:27" x14ac:dyDescent="0.2">
      <c r="B32" s="251">
        <v>2</v>
      </c>
      <c r="C32" s="295" t="str">
        <f>IF(AND(NOT(COUNTA(D32:I32)),(NOT(COUNTA(L32:O32))),(NOT(COUNTA(R32:Z32)))),"",VLOOKUP($D$7,Info_County_Code,2,FALSE))</f>
        <v/>
      </c>
      <c r="D32" s="261"/>
      <c r="E32" s="296"/>
      <c r="F32" s="296"/>
      <c r="G32" s="296"/>
      <c r="H32" s="241"/>
      <c r="I32" s="241"/>
      <c r="J32" s="245" t="str">
        <f>IF(NOT(ISBLANK(D32)),$J$28,"")</f>
        <v/>
      </c>
      <c r="K32" s="239">
        <f t="shared" si="6"/>
        <v>0</v>
      </c>
      <c r="L32" s="247"/>
      <c r="M32" s="241"/>
      <c r="N32" s="241"/>
      <c r="O32" s="242"/>
      <c r="P32" s="243">
        <f t="shared" si="8"/>
        <v>0</v>
      </c>
      <c r="Q32" s="241"/>
      <c r="R32" s="241"/>
      <c r="S32" s="241"/>
      <c r="T32" s="241"/>
      <c r="U32" s="241"/>
      <c r="V32" s="241"/>
      <c r="W32" s="241"/>
      <c r="X32" s="241"/>
      <c r="Y32" s="241"/>
      <c r="Z32" s="241"/>
      <c r="AA32" s="226"/>
    </row>
    <row r="33" spans="2:27" x14ac:dyDescent="0.2">
      <c r="B33" s="251">
        <v>2</v>
      </c>
      <c r="C33" s="297" t="str">
        <f t="shared" ref="C33:I33" si="12">IF(ISBLANK(C32),"",C32)</f>
        <v/>
      </c>
      <c r="D33" s="298" t="str">
        <f t="shared" si="12"/>
        <v/>
      </c>
      <c r="E33" s="299" t="str">
        <f t="shared" si="12"/>
        <v/>
      </c>
      <c r="F33" s="299" t="str">
        <f t="shared" si="12"/>
        <v/>
      </c>
      <c r="G33" s="299" t="str">
        <f t="shared" si="12"/>
        <v/>
      </c>
      <c r="H33" s="249" t="str">
        <f t="shared" si="12"/>
        <v/>
      </c>
      <c r="I33" s="249" t="str">
        <f t="shared" si="12"/>
        <v/>
      </c>
      <c r="J33" s="246" t="str">
        <f>IF(NOT(ISBLANK(D32)),$J$29,"")</f>
        <v/>
      </c>
      <c r="K33" s="239">
        <f t="shared" si="6"/>
        <v>0</v>
      </c>
      <c r="L33" s="247"/>
      <c r="M33" s="241"/>
      <c r="N33" s="241"/>
      <c r="O33" s="242"/>
      <c r="P33" s="243">
        <f t="shared" si="8"/>
        <v>0</v>
      </c>
      <c r="Q33" s="241"/>
      <c r="R33" s="241"/>
      <c r="S33" s="241"/>
      <c r="T33" s="241"/>
      <c r="U33" s="241"/>
      <c r="V33" s="241"/>
      <c r="W33" s="241"/>
      <c r="X33" s="241"/>
      <c r="Y33" s="241"/>
      <c r="Z33" s="241"/>
      <c r="AA33" s="226"/>
    </row>
    <row r="34" spans="2:27" x14ac:dyDescent="0.2">
      <c r="B34" s="251">
        <v>2</v>
      </c>
      <c r="C34" s="297" t="str">
        <f t="shared" ref="C34:I34" si="13">IF(ISBLANK(C32),"",C32)</f>
        <v/>
      </c>
      <c r="D34" s="300" t="str">
        <f t="shared" si="13"/>
        <v/>
      </c>
      <c r="E34" s="301" t="str">
        <f t="shared" si="13"/>
        <v/>
      </c>
      <c r="F34" s="301" t="str">
        <f t="shared" si="13"/>
        <v/>
      </c>
      <c r="G34" s="301" t="str">
        <f t="shared" si="13"/>
        <v/>
      </c>
      <c r="H34" s="246" t="str">
        <f t="shared" si="13"/>
        <v/>
      </c>
      <c r="I34" s="246" t="str">
        <f t="shared" si="13"/>
        <v/>
      </c>
      <c r="J34" s="246" t="str">
        <f>IF(NOT(ISBLANK(D32)),$J$30,"")</f>
        <v/>
      </c>
      <c r="K34" s="239">
        <f t="shared" si="6"/>
        <v>0</v>
      </c>
      <c r="L34" s="247"/>
      <c r="M34" s="241"/>
      <c r="N34" s="241"/>
      <c r="O34" s="242"/>
      <c r="P34" s="243">
        <f t="shared" si="8"/>
        <v>0</v>
      </c>
      <c r="Q34" s="241"/>
      <c r="R34" s="241"/>
      <c r="S34" s="241"/>
      <c r="T34" s="241"/>
      <c r="U34" s="241"/>
      <c r="V34" s="241"/>
      <c r="W34" s="241"/>
      <c r="X34" s="241"/>
      <c r="Y34" s="241"/>
      <c r="Z34" s="241"/>
      <c r="AA34" s="226"/>
    </row>
    <row r="35" spans="2:27" ht="15.75" x14ac:dyDescent="0.25">
      <c r="B35" s="209">
        <v>2</v>
      </c>
      <c r="C35" s="69" t="str">
        <f t="shared" ref="C35:I35" si="14">IF(ISBLANK(C32),"",C32)</f>
        <v/>
      </c>
      <c r="D35" s="82" t="str">
        <f t="shared" si="14"/>
        <v/>
      </c>
      <c r="E35" s="83" t="str">
        <f t="shared" si="14"/>
        <v/>
      </c>
      <c r="F35" s="83" t="str">
        <f t="shared" si="14"/>
        <v/>
      </c>
      <c r="G35" s="83" t="str">
        <f t="shared" si="14"/>
        <v/>
      </c>
      <c r="H35" s="84" t="str">
        <f t="shared" si="14"/>
        <v/>
      </c>
      <c r="I35" s="84" t="str">
        <f t="shared" si="14"/>
        <v/>
      </c>
      <c r="J35" s="52" t="str">
        <f>IF(NOT(ISBLANK(D32)),$J$31,"")</f>
        <v/>
      </c>
      <c r="K35" s="110">
        <f t="shared" si="6"/>
        <v>0</v>
      </c>
      <c r="L35" s="130">
        <f>SUM(L32:L34)</f>
        <v>0</v>
      </c>
      <c r="M35" s="85">
        <f>SUM(M32:M34)</f>
        <v>0</v>
      </c>
      <c r="N35" s="85">
        <f>SUM(N32:N34)</f>
        <v>0</v>
      </c>
      <c r="O35" s="134">
        <f>SUM(O32:O34)</f>
        <v>0</v>
      </c>
      <c r="P35" s="108">
        <f t="shared" si="8"/>
        <v>0</v>
      </c>
      <c r="Q35" s="85">
        <f t="shared" ref="Q35:Z35" si="15">SUM(Q32:Q34)</f>
        <v>0</v>
      </c>
      <c r="R35" s="85">
        <f t="shared" si="15"/>
        <v>0</v>
      </c>
      <c r="S35" s="85">
        <f t="shared" si="15"/>
        <v>0</v>
      </c>
      <c r="T35" s="85">
        <f t="shared" si="15"/>
        <v>0</v>
      </c>
      <c r="U35" s="85">
        <f t="shared" si="15"/>
        <v>0</v>
      </c>
      <c r="V35" s="85">
        <f t="shared" si="15"/>
        <v>0</v>
      </c>
      <c r="W35" s="85">
        <f t="shared" si="15"/>
        <v>0</v>
      </c>
      <c r="X35" s="85">
        <f t="shared" si="15"/>
        <v>0</v>
      </c>
      <c r="Y35" s="85">
        <f t="shared" si="15"/>
        <v>0</v>
      </c>
      <c r="Z35" s="85">
        <f t="shared" si="15"/>
        <v>0</v>
      </c>
      <c r="AA35" s="226"/>
    </row>
    <row r="36" spans="2:27" x14ac:dyDescent="0.2">
      <c r="B36" s="251">
        <v>3</v>
      </c>
      <c r="C36" s="295" t="str">
        <f>IF(AND(NOT(COUNTA(D36:I36)),(NOT(COUNTA(L36:O36))),(NOT(COUNTA(R36:Z36)))),"",VLOOKUP($D$7,Info_County_Code,2,FALSE))</f>
        <v/>
      </c>
      <c r="D36" s="261"/>
      <c r="E36" s="296"/>
      <c r="F36" s="296"/>
      <c r="G36" s="296"/>
      <c r="H36" s="241"/>
      <c r="I36" s="241"/>
      <c r="J36" s="245" t="str">
        <f>IF(NOT(ISBLANK(D36)),$J$28,"")</f>
        <v/>
      </c>
      <c r="K36" s="239">
        <f t="shared" si="6"/>
        <v>0</v>
      </c>
      <c r="L36" s="247"/>
      <c r="M36" s="241"/>
      <c r="N36" s="241"/>
      <c r="O36" s="242"/>
      <c r="P36" s="243">
        <f t="shared" si="8"/>
        <v>0</v>
      </c>
      <c r="Q36" s="241"/>
      <c r="R36" s="241"/>
      <c r="S36" s="241"/>
      <c r="T36" s="241"/>
      <c r="U36" s="241"/>
      <c r="V36" s="241"/>
      <c r="W36" s="241"/>
      <c r="X36" s="241"/>
      <c r="Y36" s="241"/>
      <c r="Z36" s="241"/>
      <c r="AA36" s="226"/>
    </row>
    <row r="37" spans="2:27" x14ac:dyDescent="0.2">
      <c r="B37" s="251">
        <v>3</v>
      </c>
      <c r="C37" s="297" t="str">
        <f t="shared" ref="C37:I37" si="16">IF(ISBLANK(C36),"",C36)</f>
        <v/>
      </c>
      <c r="D37" s="298" t="str">
        <f t="shared" si="16"/>
        <v/>
      </c>
      <c r="E37" s="299" t="str">
        <f t="shared" si="16"/>
        <v/>
      </c>
      <c r="F37" s="299" t="str">
        <f t="shared" si="16"/>
        <v/>
      </c>
      <c r="G37" s="299" t="str">
        <f t="shared" si="16"/>
        <v/>
      </c>
      <c r="H37" s="249" t="str">
        <f t="shared" si="16"/>
        <v/>
      </c>
      <c r="I37" s="249" t="str">
        <f t="shared" si="16"/>
        <v/>
      </c>
      <c r="J37" s="246" t="str">
        <f>IF(NOT(ISBLANK(D36)),$J$29,"")</f>
        <v/>
      </c>
      <c r="K37" s="239">
        <f t="shared" si="6"/>
        <v>0</v>
      </c>
      <c r="L37" s="247"/>
      <c r="M37" s="241"/>
      <c r="N37" s="241"/>
      <c r="O37" s="242"/>
      <c r="P37" s="243">
        <f t="shared" si="8"/>
        <v>0</v>
      </c>
      <c r="Q37" s="241"/>
      <c r="R37" s="241"/>
      <c r="S37" s="241"/>
      <c r="T37" s="241"/>
      <c r="U37" s="241"/>
      <c r="V37" s="241"/>
      <c r="W37" s="241"/>
      <c r="X37" s="241"/>
      <c r="Y37" s="241"/>
      <c r="Z37" s="241"/>
      <c r="AA37" s="226"/>
    </row>
    <row r="38" spans="2:27" x14ac:dyDescent="0.2">
      <c r="B38" s="251">
        <v>3</v>
      </c>
      <c r="C38" s="297" t="str">
        <f t="shared" ref="C38:I38" si="17">IF(ISBLANK(C36),"",C36)</f>
        <v/>
      </c>
      <c r="D38" s="300" t="str">
        <f t="shared" si="17"/>
        <v/>
      </c>
      <c r="E38" s="301" t="str">
        <f t="shared" si="17"/>
        <v/>
      </c>
      <c r="F38" s="301" t="str">
        <f t="shared" si="17"/>
        <v/>
      </c>
      <c r="G38" s="301" t="str">
        <f t="shared" si="17"/>
        <v/>
      </c>
      <c r="H38" s="246" t="str">
        <f t="shared" si="17"/>
        <v/>
      </c>
      <c r="I38" s="246" t="str">
        <f t="shared" si="17"/>
        <v/>
      </c>
      <c r="J38" s="246" t="str">
        <f>IF(NOT(ISBLANK(D36)),$J$30,"")</f>
        <v/>
      </c>
      <c r="K38" s="239">
        <f t="shared" si="6"/>
        <v>0</v>
      </c>
      <c r="L38" s="247"/>
      <c r="M38" s="241"/>
      <c r="N38" s="241"/>
      <c r="O38" s="242"/>
      <c r="P38" s="243">
        <f t="shared" si="8"/>
        <v>0</v>
      </c>
      <c r="Q38" s="241"/>
      <c r="R38" s="241"/>
      <c r="S38" s="241"/>
      <c r="T38" s="241"/>
      <c r="U38" s="241"/>
      <c r="V38" s="241"/>
      <c r="W38" s="241"/>
      <c r="X38" s="241"/>
      <c r="Y38" s="241"/>
      <c r="Z38" s="241"/>
      <c r="AA38" s="226"/>
    </row>
    <row r="39" spans="2:27" ht="15.75" x14ac:dyDescent="0.25">
      <c r="B39" s="209">
        <v>3</v>
      </c>
      <c r="C39" s="69" t="str">
        <f t="shared" ref="C39:I39" si="18">IF(ISBLANK(C36),"",C36)</f>
        <v/>
      </c>
      <c r="D39" s="82" t="str">
        <f t="shared" si="18"/>
        <v/>
      </c>
      <c r="E39" s="83" t="str">
        <f t="shared" si="18"/>
        <v/>
      </c>
      <c r="F39" s="83" t="str">
        <f t="shared" si="18"/>
        <v/>
      </c>
      <c r="G39" s="83" t="str">
        <f t="shared" si="18"/>
        <v/>
      </c>
      <c r="H39" s="84" t="str">
        <f t="shared" si="18"/>
        <v/>
      </c>
      <c r="I39" s="84" t="str">
        <f t="shared" si="18"/>
        <v/>
      </c>
      <c r="J39" s="52" t="str">
        <f>IF(NOT(ISBLANK(D36)),$J$31,"")</f>
        <v/>
      </c>
      <c r="K39" s="110">
        <f t="shared" si="6"/>
        <v>0</v>
      </c>
      <c r="L39" s="130">
        <f>SUM(L36:L38)</f>
        <v>0</v>
      </c>
      <c r="M39" s="85">
        <f>SUM(M36:M38)</f>
        <v>0</v>
      </c>
      <c r="N39" s="85">
        <f>SUM(N36:N38)</f>
        <v>0</v>
      </c>
      <c r="O39" s="134">
        <f>SUM(O36:O38)</f>
        <v>0</v>
      </c>
      <c r="P39" s="108">
        <f t="shared" si="8"/>
        <v>0</v>
      </c>
      <c r="Q39" s="85">
        <f t="shared" ref="Q39:Z39" si="19">SUM(Q36:Q38)</f>
        <v>0</v>
      </c>
      <c r="R39" s="85">
        <f t="shared" si="19"/>
        <v>0</v>
      </c>
      <c r="S39" s="85">
        <f t="shared" si="19"/>
        <v>0</v>
      </c>
      <c r="T39" s="85">
        <f t="shared" si="19"/>
        <v>0</v>
      </c>
      <c r="U39" s="85">
        <f t="shared" si="19"/>
        <v>0</v>
      </c>
      <c r="V39" s="85">
        <f t="shared" si="19"/>
        <v>0</v>
      </c>
      <c r="W39" s="85">
        <f t="shared" si="19"/>
        <v>0</v>
      </c>
      <c r="X39" s="85">
        <f t="shared" si="19"/>
        <v>0</v>
      </c>
      <c r="Y39" s="85">
        <f t="shared" si="19"/>
        <v>0</v>
      </c>
      <c r="Z39" s="85">
        <f t="shared" si="19"/>
        <v>0</v>
      </c>
      <c r="AA39" s="226"/>
    </row>
    <row r="40" spans="2:27" x14ac:dyDescent="0.2">
      <c r="B40" s="251">
        <v>4</v>
      </c>
      <c r="C40" s="295" t="str">
        <f>IF(AND(NOT(COUNTA(D40:I40)),(NOT(COUNTA(L40:O40))),(NOT(COUNTA(R40:Z40)))),"",VLOOKUP($D$7,Info_County_Code,2,FALSE))</f>
        <v/>
      </c>
      <c r="D40" s="261"/>
      <c r="E40" s="296"/>
      <c r="F40" s="296"/>
      <c r="G40" s="296"/>
      <c r="H40" s="241"/>
      <c r="I40" s="241"/>
      <c r="J40" s="245" t="str">
        <f>IF(NOT(ISBLANK(D40)),$J$28,"")</f>
        <v/>
      </c>
      <c r="K40" s="239">
        <f t="shared" si="6"/>
        <v>0</v>
      </c>
      <c r="L40" s="247"/>
      <c r="M40" s="241"/>
      <c r="N40" s="241"/>
      <c r="O40" s="242"/>
      <c r="P40" s="243">
        <f t="shared" si="8"/>
        <v>0</v>
      </c>
      <c r="Q40" s="241"/>
      <c r="R40" s="241"/>
      <c r="S40" s="241"/>
      <c r="T40" s="241"/>
      <c r="U40" s="241"/>
      <c r="V40" s="241"/>
      <c r="W40" s="241"/>
      <c r="X40" s="241"/>
      <c r="Y40" s="241"/>
      <c r="Z40" s="241"/>
      <c r="AA40" s="226"/>
    </row>
    <row r="41" spans="2:27" x14ac:dyDescent="0.2">
      <c r="B41" s="251">
        <v>4</v>
      </c>
      <c r="C41" s="297" t="str">
        <f t="shared" ref="C41:I41" si="20">IF(ISBLANK(C40),"",C40)</f>
        <v/>
      </c>
      <c r="D41" s="298" t="str">
        <f t="shared" si="20"/>
        <v/>
      </c>
      <c r="E41" s="299" t="str">
        <f t="shared" si="20"/>
        <v/>
      </c>
      <c r="F41" s="299" t="str">
        <f t="shared" si="20"/>
        <v/>
      </c>
      <c r="G41" s="299" t="str">
        <f t="shared" si="20"/>
        <v/>
      </c>
      <c r="H41" s="249" t="str">
        <f t="shared" si="20"/>
        <v/>
      </c>
      <c r="I41" s="249" t="str">
        <f t="shared" si="20"/>
        <v/>
      </c>
      <c r="J41" s="246" t="str">
        <f>IF(NOT(ISBLANK(D40)),$J$29,"")</f>
        <v/>
      </c>
      <c r="K41" s="239">
        <f t="shared" si="6"/>
        <v>0</v>
      </c>
      <c r="L41" s="247"/>
      <c r="M41" s="241"/>
      <c r="N41" s="241"/>
      <c r="O41" s="242"/>
      <c r="P41" s="243">
        <f t="shared" si="8"/>
        <v>0</v>
      </c>
      <c r="Q41" s="241"/>
      <c r="R41" s="241"/>
      <c r="S41" s="241"/>
      <c r="T41" s="241"/>
      <c r="U41" s="241"/>
      <c r="V41" s="241"/>
      <c r="W41" s="241"/>
      <c r="X41" s="241"/>
      <c r="Y41" s="241"/>
      <c r="Z41" s="241"/>
      <c r="AA41" s="226"/>
    </row>
    <row r="42" spans="2:27" x14ac:dyDescent="0.2">
      <c r="B42" s="251">
        <v>4</v>
      </c>
      <c r="C42" s="297" t="str">
        <f t="shared" ref="C42:I42" si="21">IF(ISBLANK(C40),"",C40)</f>
        <v/>
      </c>
      <c r="D42" s="300" t="str">
        <f t="shared" si="21"/>
        <v/>
      </c>
      <c r="E42" s="301" t="str">
        <f t="shared" si="21"/>
        <v/>
      </c>
      <c r="F42" s="301" t="str">
        <f t="shared" si="21"/>
        <v/>
      </c>
      <c r="G42" s="301" t="str">
        <f t="shared" si="21"/>
        <v/>
      </c>
      <c r="H42" s="246" t="str">
        <f t="shared" si="21"/>
        <v/>
      </c>
      <c r="I42" s="246" t="str">
        <f t="shared" si="21"/>
        <v/>
      </c>
      <c r="J42" s="246" t="str">
        <f>IF(NOT(ISBLANK(D40)),$J$30,"")</f>
        <v/>
      </c>
      <c r="K42" s="239">
        <f t="shared" si="6"/>
        <v>0</v>
      </c>
      <c r="L42" s="247"/>
      <c r="M42" s="241"/>
      <c r="N42" s="241"/>
      <c r="O42" s="242"/>
      <c r="P42" s="243">
        <f t="shared" si="8"/>
        <v>0</v>
      </c>
      <c r="Q42" s="241"/>
      <c r="R42" s="241"/>
      <c r="S42" s="241"/>
      <c r="T42" s="241"/>
      <c r="U42" s="241"/>
      <c r="V42" s="241"/>
      <c r="W42" s="241"/>
      <c r="X42" s="241"/>
      <c r="Y42" s="241"/>
      <c r="Z42" s="241"/>
      <c r="AA42" s="226"/>
    </row>
    <row r="43" spans="2:27" ht="15.75" x14ac:dyDescent="0.25">
      <c r="B43" s="209">
        <v>4</v>
      </c>
      <c r="C43" s="69" t="str">
        <f t="shared" ref="C43:I43" si="22">IF(ISBLANK(C40),"",C40)</f>
        <v/>
      </c>
      <c r="D43" s="82" t="str">
        <f t="shared" si="22"/>
        <v/>
      </c>
      <c r="E43" s="83" t="str">
        <f t="shared" si="22"/>
        <v/>
      </c>
      <c r="F43" s="83" t="str">
        <f t="shared" si="22"/>
        <v/>
      </c>
      <c r="G43" s="83" t="str">
        <f t="shared" si="22"/>
        <v/>
      </c>
      <c r="H43" s="84" t="str">
        <f t="shared" si="22"/>
        <v/>
      </c>
      <c r="I43" s="84" t="str">
        <f t="shared" si="22"/>
        <v/>
      </c>
      <c r="J43" s="52" t="str">
        <f>IF(NOT(ISBLANK(D40)),$J$31,"")</f>
        <v/>
      </c>
      <c r="K43" s="110">
        <f t="shared" si="6"/>
        <v>0</v>
      </c>
      <c r="L43" s="130">
        <f>SUM(L40:L42)</f>
        <v>0</v>
      </c>
      <c r="M43" s="85">
        <f>SUM(M40:M42)</f>
        <v>0</v>
      </c>
      <c r="N43" s="85">
        <f>SUM(N40:N42)</f>
        <v>0</v>
      </c>
      <c r="O43" s="134">
        <f>SUM(O40:O42)</f>
        <v>0</v>
      </c>
      <c r="P43" s="108">
        <f t="shared" si="8"/>
        <v>0</v>
      </c>
      <c r="Q43" s="85">
        <f t="shared" ref="Q43:Z43" si="23">SUM(Q40:Q42)</f>
        <v>0</v>
      </c>
      <c r="R43" s="85">
        <f t="shared" si="23"/>
        <v>0</v>
      </c>
      <c r="S43" s="85">
        <f t="shared" si="23"/>
        <v>0</v>
      </c>
      <c r="T43" s="85">
        <f t="shared" si="23"/>
        <v>0</v>
      </c>
      <c r="U43" s="85">
        <f t="shared" si="23"/>
        <v>0</v>
      </c>
      <c r="V43" s="85">
        <f t="shared" si="23"/>
        <v>0</v>
      </c>
      <c r="W43" s="85">
        <f t="shared" si="23"/>
        <v>0</v>
      </c>
      <c r="X43" s="85">
        <f t="shared" si="23"/>
        <v>0</v>
      </c>
      <c r="Y43" s="85">
        <f t="shared" si="23"/>
        <v>0</v>
      </c>
      <c r="Z43" s="85">
        <f t="shared" si="23"/>
        <v>0</v>
      </c>
      <c r="AA43" s="226"/>
    </row>
    <row r="44" spans="2:27" x14ac:dyDescent="0.2">
      <c r="B44" s="251">
        <v>5</v>
      </c>
      <c r="C44" s="295" t="str">
        <f>IF(AND(NOT(COUNTA(D44:I44)),(NOT(COUNTA(L44:O44))),(NOT(COUNTA(R44:Z44)))),"",VLOOKUP($D$7,Info_County_Code,2,FALSE))</f>
        <v/>
      </c>
      <c r="D44" s="261"/>
      <c r="E44" s="296"/>
      <c r="F44" s="296"/>
      <c r="G44" s="296"/>
      <c r="H44" s="241"/>
      <c r="I44" s="241"/>
      <c r="J44" s="245" t="str">
        <f>IF(NOT(ISBLANK(D44)),$J$28,"")</f>
        <v/>
      </c>
      <c r="K44" s="239">
        <f t="shared" si="6"/>
        <v>0</v>
      </c>
      <c r="L44" s="247"/>
      <c r="M44" s="241"/>
      <c r="N44" s="241"/>
      <c r="O44" s="242"/>
      <c r="P44" s="243">
        <f t="shared" si="8"/>
        <v>0</v>
      </c>
      <c r="Q44" s="241"/>
      <c r="R44" s="241"/>
      <c r="S44" s="241"/>
      <c r="T44" s="241"/>
      <c r="U44" s="241"/>
      <c r="V44" s="241"/>
      <c r="W44" s="241"/>
      <c r="X44" s="241"/>
      <c r="Y44" s="241"/>
      <c r="Z44" s="241"/>
      <c r="AA44" s="226"/>
    </row>
    <row r="45" spans="2:27" x14ac:dyDescent="0.2">
      <c r="B45" s="251">
        <v>5</v>
      </c>
      <c r="C45" s="297" t="str">
        <f t="shared" ref="C45:I45" si="24">IF(ISBLANK(C44),"",C44)</f>
        <v/>
      </c>
      <c r="D45" s="298" t="str">
        <f t="shared" si="24"/>
        <v/>
      </c>
      <c r="E45" s="299" t="str">
        <f t="shared" si="24"/>
        <v/>
      </c>
      <c r="F45" s="299" t="str">
        <f t="shared" si="24"/>
        <v/>
      </c>
      <c r="G45" s="299" t="str">
        <f t="shared" si="24"/>
        <v/>
      </c>
      <c r="H45" s="249" t="str">
        <f t="shared" si="24"/>
        <v/>
      </c>
      <c r="I45" s="249" t="str">
        <f t="shared" si="24"/>
        <v/>
      </c>
      <c r="J45" s="246" t="str">
        <f>IF(NOT(ISBLANK(D44)),$J$29,"")</f>
        <v/>
      </c>
      <c r="K45" s="239">
        <f t="shared" si="6"/>
        <v>0</v>
      </c>
      <c r="L45" s="247"/>
      <c r="M45" s="241"/>
      <c r="N45" s="241"/>
      <c r="O45" s="242"/>
      <c r="P45" s="243">
        <f t="shared" si="8"/>
        <v>0</v>
      </c>
      <c r="Q45" s="241"/>
      <c r="R45" s="241"/>
      <c r="S45" s="241"/>
      <c r="T45" s="241"/>
      <c r="U45" s="241"/>
      <c r="V45" s="241"/>
      <c r="W45" s="241"/>
      <c r="X45" s="241"/>
      <c r="Y45" s="241"/>
      <c r="Z45" s="241"/>
      <c r="AA45" s="226"/>
    </row>
    <row r="46" spans="2:27" x14ac:dyDescent="0.2">
      <c r="B46" s="251">
        <v>5</v>
      </c>
      <c r="C46" s="297" t="str">
        <f t="shared" ref="C46:I46" si="25">IF(ISBLANK(C44),"",C44)</f>
        <v/>
      </c>
      <c r="D46" s="300" t="str">
        <f t="shared" si="25"/>
        <v/>
      </c>
      <c r="E46" s="301" t="str">
        <f t="shared" si="25"/>
        <v/>
      </c>
      <c r="F46" s="301" t="str">
        <f t="shared" si="25"/>
        <v/>
      </c>
      <c r="G46" s="301" t="str">
        <f t="shared" si="25"/>
        <v/>
      </c>
      <c r="H46" s="246" t="str">
        <f t="shared" si="25"/>
        <v/>
      </c>
      <c r="I46" s="246" t="str">
        <f t="shared" si="25"/>
        <v/>
      </c>
      <c r="J46" s="246" t="str">
        <f>IF(NOT(ISBLANK(D44)),$J$30,"")</f>
        <v/>
      </c>
      <c r="K46" s="239">
        <f t="shared" si="6"/>
        <v>0</v>
      </c>
      <c r="L46" s="247"/>
      <c r="M46" s="241"/>
      <c r="N46" s="241"/>
      <c r="O46" s="242"/>
      <c r="P46" s="243">
        <f t="shared" si="8"/>
        <v>0</v>
      </c>
      <c r="Q46" s="241"/>
      <c r="R46" s="241"/>
      <c r="S46" s="241"/>
      <c r="T46" s="241"/>
      <c r="U46" s="241"/>
      <c r="V46" s="241"/>
      <c r="W46" s="241"/>
      <c r="X46" s="241"/>
      <c r="Y46" s="241"/>
      <c r="Z46" s="241"/>
      <c r="AA46" s="226"/>
    </row>
    <row r="47" spans="2:27" ht="15.75" x14ac:dyDescent="0.25">
      <c r="B47" s="209">
        <v>5</v>
      </c>
      <c r="C47" s="69" t="str">
        <f t="shared" ref="C47:I47" si="26">IF(ISBLANK(C44),"",C44)</f>
        <v/>
      </c>
      <c r="D47" s="82" t="str">
        <f t="shared" si="26"/>
        <v/>
      </c>
      <c r="E47" s="83" t="str">
        <f t="shared" si="26"/>
        <v/>
      </c>
      <c r="F47" s="83" t="str">
        <f t="shared" si="26"/>
        <v/>
      </c>
      <c r="G47" s="83" t="str">
        <f t="shared" si="26"/>
        <v/>
      </c>
      <c r="H47" s="84" t="str">
        <f t="shared" si="26"/>
        <v/>
      </c>
      <c r="I47" s="84" t="str">
        <f t="shared" si="26"/>
        <v/>
      </c>
      <c r="J47" s="52" t="str">
        <f>IF(NOT(ISBLANK(D44)),$J$31,"")</f>
        <v/>
      </c>
      <c r="K47" s="110">
        <f t="shared" si="6"/>
        <v>0</v>
      </c>
      <c r="L47" s="130">
        <f>SUM(L44:L46)</f>
        <v>0</v>
      </c>
      <c r="M47" s="85">
        <f>SUM(M44:M46)</f>
        <v>0</v>
      </c>
      <c r="N47" s="85">
        <f>SUM(N44:N46)</f>
        <v>0</v>
      </c>
      <c r="O47" s="134">
        <f>SUM(O44:O46)</f>
        <v>0</v>
      </c>
      <c r="P47" s="108">
        <f t="shared" si="8"/>
        <v>0</v>
      </c>
      <c r="Q47" s="85">
        <f t="shared" ref="Q47:Z47" si="27">SUM(Q44:Q46)</f>
        <v>0</v>
      </c>
      <c r="R47" s="85">
        <f t="shared" si="27"/>
        <v>0</v>
      </c>
      <c r="S47" s="85">
        <f t="shared" si="27"/>
        <v>0</v>
      </c>
      <c r="T47" s="85">
        <f t="shared" si="27"/>
        <v>0</v>
      </c>
      <c r="U47" s="85">
        <f t="shared" si="27"/>
        <v>0</v>
      </c>
      <c r="V47" s="85">
        <f t="shared" si="27"/>
        <v>0</v>
      </c>
      <c r="W47" s="85">
        <f t="shared" si="27"/>
        <v>0</v>
      </c>
      <c r="X47" s="85">
        <f t="shared" si="27"/>
        <v>0</v>
      </c>
      <c r="Y47" s="85">
        <f t="shared" si="27"/>
        <v>0</v>
      </c>
      <c r="Z47" s="85">
        <f t="shared" si="27"/>
        <v>0</v>
      </c>
      <c r="AA47" s="226"/>
    </row>
    <row r="48" spans="2:27" x14ac:dyDescent="0.2">
      <c r="B48" s="251">
        <v>6</v>
      </c>
      <c r="C48" s="295" t="str">
        <f>IF(AND(NOT(COUNTA(D48:I48)),(NOT(COUNTA(L48:O48))),(NOT(COUNTA(R48:Z48)))),"",VLOOKUP($D$7,Info_County_Code,2,FALSE))</f>
        <v/>
      </c>
      <c r="D48" s="261"/>
      <c r="E48" s="296"/>
      <c r="F48" s="296"/>
      <c r="G48" s="296"/>
      <c r="H48" s="241"/>
      <c r="I48" s="241"/>
      <c r="J48" s="245" t="str">
        <f>IF(NOT(ISBLANK(D48)),$J$28,"")</f>
        <v/>
      </c>
      <c r="K48" s="239">
        <f t="shared" si="6"/>
        <v>0</v>
      </c>
      <c r="L48" s="247"/>
      <c r="M48" s="241"/>
      <c r="N48" s="241"/>
      <c r="O48" s="242"/>
      <c r="P48" s="243">
        <f t="shared" si="8"/>
        <v>0</v>
      </c>
      <c r="Q48" s="241"/>
      <c r="R48" s="241"/>
      <c r="S48" s="241"/>
      <c r="T48" s="241"/>
      <c r="U48" s="241"/>
      <c r="V48" s="241"/>
      <c r="W48" s="241"/>
      <c r="X48" s="241"/>
      <c r="Y48" s="241"/>
      <c r="Z48" s="241"/>
      <c r="AA48" s="226"/>
    </row>
    <row r="49" spans="2:27" x14ac:dyDescent="0.2">
      <c r="B49" s="251">
        <v>6</v>
      </c>
      <c r="C49" s="297" t="str">
        <f t="shared" ref="C49:I49" si="28">IF(ISBLANK(C48),"",C48)</f>
        <v/>
      </c>
      <c r="D49" s="298" t="str">
        <f t="shared" si="28"/>
        <v/>
      </c>
      <c r="E49" s="299" t="str">
        <f t="shared" si="28"/>
        <v/>
      </c>
      <c r="F49" s="299" t="str">
        <f t="shared" si="28"/>
        <v/>
      </c>
      <c r="G49" s="299" t="str">
        <f t="shared" si="28"/>
        <v/>
      </c>
      <c r="H49" s="249" t="str">
        <f t="shared" si="28"/>
        <v/>
      </c>
      <c r="I49" s="249" t="str">
        <f t="shared" si="28"/>
        <v/>
      </c>
      <c r="J49" s="246" t="str">
        <f>IF(NOT(ISBLANK(D48)),$J$29,"")</f>
        <v/>
      </c>
      <c r="K49" s="239">
        <f t="shared" si="6"/>
        <v>0</v>
      </c>
      <c r="L49" s="247"/>
      <c r="M49" s="241"/>
      <c r="N49" s="241"/>
      <c r="O49" s="242"/>
      <c r="P49" s="243">
        <f t="shared" si="8"/>
        <v>0</v>
      </c>
      <c r="Q49" s="241"/>
      <c r="R49" s="241"/>
      <c r="S49" s="241"/>
      <c r="T49" s="241"/>
      <c r="U49" s="241"/>
      <c r="V49" s="241"/>
      <c r="W49" s="241"/>
      <c r="X49" s="241"/>
      <c r="Y49" s="241"/>
      <c r="Z49" s="241"/>
      <c r="AA49" s="226"/>
    </row>
    <row r="50" spans="2:27" x14ac:dyDescent="0.2">
      <c r="B50" s="251">
        <v>6</v>
      </c>
      <c r="C50" s="297" t="str">
        <f t="shared" ref="C50:I50" si="29">IF(ISBLANK(C48),"",C48)</f>
        <v/>
      </c>
      <c r="D50" s="300" t="str">
        <f t="shared" si="29"/>
        <v/>
      </c>
      <c r="E50" s="301" t="str">
        <f t="shared" si="29"/>
        <v/>
      </c>
      <c r="F50" s="301" t="str">
        <f t="shared" si="29"/>
        <v/>
      </c>
      <c r="G50" s="301" t="str">
        <f t="shared" si="29"/>
        <v/>
      </c>
      <c r="H50" s="246" t="str">
        <f t="shared" si="29"/>
        <v/>
      </c>
      <c r="I50" s="246" t="str">
        <f t="shared" si="29"/>
        <v/>
      </c>
      <c r="J50" s="246" t="str">
        <f>IF(NOT(ISBLANK(D48)),$J$30,"")</f>
        <v/>
      </c>
      <c r="K50" s="239">
        <f t="shared" si="6"/>
        <v>0</v>
      </c>
      <c r="L50" s="247"/>
      <c r="M50" s="241"/>
      <c r="N50" s="241"/>
      <c r="O50" s="242"/>
      <c r="P50" s="243">
        <f t="shared" si="8"/>
        <v>0</v>
      </c>
      <c r="Q50" s="241"/>
      <c r="R50" s="241"/>
      <c r="S50" s="241"/>
      <c r="T50" s="241"/>
      <c r="U50" s="241"/>
      <c r="V50" s="241"/>
      <c r="W50" s="241"/>
      <c r="X50" s="241"/>
      <c r="Y50" s="241"/>
      <c r="Z50" s="241"/>
      <c r="AA50" s="226"/>
    </row>
    <row r="51" spans="2:27" ht="15.75" x14ac:dyDescent="0.25">
      <c r="B51" s="209">
        <v>6</v>
      </c>
      <c r="C51" s="69" t="str">
        <f t="shared" ref="C51:I51" si="30">IF(ISBLANK(C48),"",C48)</f>
        <v/>
      </c>
      <c r="D51" s="82" t="str">
        <f t="shared" si="30"/>
        <v/>
      </c>
      <c r="E51" s="83" t="str">
        <f t="shared" si="30"/>
        <v/>
      </c>
      <c r="F51" s="83" t="str">
        <f t="shared" si="30"/>
        <v/>
      </c>
      <c r="G51" s="83" t="str">
        <f t="shared" si="30"/>
        <v/>
      </c>
      <c r="H51" s="84" t="str">
        <f t="shared" si="30"/>
        <v/>
      </c>
      <c r="I51" s="84" t="str">
        <f t="shared" si="30"/>
        <v/>
      </c>
      <c r="J51" s="52" t="str">
        <f>IF(NOT(ISBLANK(D48)),$J$31,"")</f>
        <v/>
      </c>
      <c r="K51" s="110">
        <f t="shared" si="6"/>
        <v>0</v>
      </c>
      <c r="L51" s="130">
        <f>SUM(L48:L50)</f>
        <v>0</v>
      </c>
      <c r="M51" s="85">
        <f>SUM(M48:M50)</f>
        <v>0</v>
      </c>
      <c r="N51" s="85">
        <f>SUM(N48:N50)</f>
        <v>0</v>
      </c>
      <c r="O51" s="134">
        <f>SUM(O48:O50)</f>
        <v>0</v>
      </c>
      <c r="P51" s="108">
        <f t="shared" si="8"/>
        <v>0</v>
      </c>
      <c r="Q51" s="85">
        <f t="shared" ref="Q51:Z51" si="31">SUM(Q48:Q50)</f>
        <v>0</v>
      </c>
      <c r="R51" s="85">
        <f t="shared" si="31"/>
        <v>0</v>
      </c>
      <c r="S51" s="85">
        <f t="shared" si="31"/>
        <v>0</v>
      </c>
      <c r="T51" s="85">
        <f t="shared" si="31"/>
        <v>0</v>
      </c>
      <c r="U51" s="85">
        <f t="shared" si="31"/>
        <v>0</v>
      </c>
      <c r="V51" s="85">
        <f t="shared" si="31"/>
        <v>0</v>
      </c>
      <c r="W51" s="85">
        <f t="shared" si="31"/>
        <v>0</v>
      </c>
      <c r="X51" s="85">
        <f t="shared" si="31"/>
        <v>0</v>
      </c>
      <c r="Y51" s="85">
        <f t="shared" si="31"/>
        <v>0</v>
      </c>
      <c r="Z51" s="85">
        <f t="shared" si="31"/>
        <v>0</v>
      </c>
      <c r="AA51" s="226"/>
    </row>
    <row r="52" spans="2:27" x14ac:dyDescent="0.2">
      <c r="B52" s="251">
        <v>7</v>
      </c>
      <c r="C52" s="295" t="str">
        <f>IF(AND(NOT(COUNTA(D52:I52)),(NOT(COUNTA(L52:O52))),(NOT(COUNTA(R52:Z52)))),"",VLOOKUP($D$7,Info_County_Code,2,FALSE))</f>
        <v/>
      </c>
      <c r="D52" s="261"/>
      <c r="E52" s="296"/>
      <c r="F52" s="296"/>
      <c r="G52" s="296"/>
      <c r="H52" s="241"/>
      <c r="I52" s="241"/>
      <c r="J52" s="245" t="str">
        <f>IF(NOT(ISBLANK(D52)),$J$28,"")</f>
        <v/>
      </c>
      <c r="K52" s="239">
        <f t="shared" si="6"/>
        <v>0</v>
      </c>
      <c r="L52" s="247"/>
      <c r="M52" s="241"/>
      <c r="N52" s="241"/>
      <c r="O52" s="242"/>
      <c r="P52" s="243">
        <f t="shared" si="8"/>
        <v>0</v>
      </c>
      <c r="Q52" s="241"/>
      <c r="R52" s="241"/>
      <c r="S52" s="241"/>
      <c r="T52" s="241"/>
      <c r="U52" s="241"/>
      <c r="V52" s="241"/>
      <c r="W52" s="241"/>
      <c r="X52" s="241"/>
      <c r="Y52" s="241"/>
      <c r="Z52" s="241"/>
      <c r="AA52" s="226"/>
    </row>
    <row r="53" spans="2:27" x14ac:dyDescent="0.2">
      <c r="B53" s="251">
        <v>7</v>
      </c>
      <c r="C53" s="297" t="str">
        <f t="shared" ref="C53:I53" si="32">IF(ISBLANK(C52),"",C52)</f>
        <v/>
      </c>
      <c r="D53" s="298" t="str">
        <f t="shared" si="32"/>
        <v/>
      </c>
      <c r="E53" s="299" t="str">
        <f t="shared" si="32"/>
        <v/>
      </c>
      <c r="F53" s="299" t="str">
        <f t="shared" si="32"/>
        <v/>
      </c>
      <c r="G53" s="299" t="str">
        <f t="shared" si="32"/>
        <v/>
      </c>
      <c r="H53" s="249" t="str">
        <f t="shared" si="32"/>
        <v/>
      </c>
      <c r="I53" s="249" t="str">
        <f t="shared" si="32"/>
        <v/>
      </c>
      <c r="J53" s="246" t="str">
        <f>IF(NOT(ISBLANK(D52)),$J$29,"")</f>
        <v/>
      </c>
      <c r="K53" s="239">
        <f t="shared" si="6"/>
        <v>0</v>
      </c>
      <c r="L53" s="247"/>
      <c r="M53" s="241"/>
      <c r="N53" s="241"/>
      <c r="O53" s="242"/>
      <c r="P53" s="243">
        <f t="shared" si="8"/>
        <v>0</v>
      </c>
      <c r="Q53" s="241"/>
      <c r="R53" s="241"/>
      <c r="S53" s="241"/>
      <c r="T53" s="241"/>
      <c r="U53" s="241"/>
      <c r="V53" s="241"/>
      <c r="W53" s="241"/>
      <c r="X53" s="241"/>
      <c r="Y53" s="241"/>
      <c r="Z53" s="241"/>
      <c r="AA53" s="226"/>
    </row>
    <row r="54" spans="2:27" x14ac:dyDescent="0.2">
      <c r="B54" s="251">
        <v>7</v>
      </c>
      <c r="C54" s="297" t="str">
        <f t="shared" ref="C54:I54" si="33">IF(ISBLANK(C52),"",C52)</f>
        <v/>
      </c>
      <c r="D54" s="300" t="str">
        <f t="shared" si="33"/>
        <v/>
      </c>
      <c r="E54" s="301" t="str">
        <f t="shared" si="33"/>
        <v/>
      </c>
      <c r="F54" s="301" t="str">
        <f t="shared" si="33"/>
        <v/>
      </c>
      <c r="G54" s="301" t="str">
        <f t="shared" si="33"/>
        <v/>
      </c>
      <c r="H54" s="246" t="str">
        <f t="shared" si="33"/>
        <v/>
      </c>
      <c r="I54" s="246" t="str">
        <f t="shared" si="33"/>
        <v/>
      </c>
      <c r="J54" s="246" t="str">
        <f>IF(NOT(ISBLANK(D52)),$J$30,"")</f>
        <v/>
      </c>
      <c r="K54" s="239">
        <f t="shared" si="6"/>
        <v>0</v>
      </c>
      <c r="L54" s="247"/>
      <c r="M54" s="241"/>
      <c r="N54" s="241"/>
      <c r="O54" s="242"/>
      <c r="P54" s="243">
        <f t="shared" si="8"/>
        <v>0</v>
      </c>
      <c r="Q54" s="241"/>
      <c r="R54" s="241"/>
      <c r="S54" s="241"/>
      <c r="T54" s="241"/>
      <c r="U54" s="241"/>
      <c r="V54" s="241"/>
      <c r="W54" s="241"/>
      <c r="X54" s="241"/>
      <c r="Y54" s="241"/>
      <c r="Z54" s="241"/>
      <c r="AA54" s="226"/>
    </row>
    <row r="55" spans="2:27" ht="15.75" x14ac:dyDescent="0.25">
      <c r="B55" s="209">
        <v>7</v>
      </c>
      <c r="C55" s="69" t="str">
        <f t="shared" ref="C55:I55" si="34">IF(ISBLANK(C52),"",C52)</f>
        <v/>
      </c>
      <c r="D55" s="82" t="str">
        <f t="shared" si="34"/>
        <v/>
      </c>
      <c r="E55" s="83" t="str">
        <f t="shared" si="34"/>
        <v/>
      </c>
      <c r="F55" s="83" t="str">
        <f t="shared" si="34"/>
        <v/>
      </c>
      <c r="G55" s="83" t="str">
        <f t="shared" si="34"/>
        <v/>
      </c>
      <c r="H55" s="84" t="str">
        <f t="shared" si="34"/>
        <v/>
      </c>
      <c r="I55" s="84" t="str">
        <f t="shared" si="34"/>
        <v/>
      </c>
      <c r="J55" s="52" t="str">
        <f>IF(NOT(ISBLANK(D52)),$J$31,"")</f>
        <v/>
      </c>
      <c r="K55" s="110">
        <f t="shared" si="6"/>
        <v>0</v>
      </c>
      <c r="L55" s="130">
        <f>SUM(L52:L54)</f>
        <v>0</v>
      </c>
      <c r="M55" s="85">
        <f>SUM(M52:M54)</f>
        <v>0</v>
      </c>
      <c r="N55" s="85">
        <f>SUM(N52:N54)</f>
        <v>0</v>
      </c>
      <c r="O55" s="134">
        <f>SUM(O52:O54)</f>
        <v>0</v>
      </c>
      <c r="P55" s="108">
        <f t="shared" si="8"/>
        <v>0</v>
      </c>
      <c r="Q55" s="85">
        <f t="shared" ref="Q55:Z55" si="35">SUM(Q52:Q54)</f>
        <v>0</v>
      </c>
      <c r="R55" s="85">
        <f t="shared" si="35"/>
        <v>0</v>
      </c>
      <c r="S55" s="85">
        <f t="shared" si="35"/>
        <v>0</v>
      </c>
      <c r="T55" s="85">
        <f t="shared" si="35"/>
        <v>0</v>
      </c>
      <c r="U55" s="85">
        <f t="shared" si="35"/>
        <v>0</v>
      </c>
      <c r="V55" s="85">
        <f t="shared" si="35"/>
        <v>0</v>
      </c>
      <c r="W55" s="85">
        <f t="shared" si="35"/>
        <v>0</v>
      </c>
      <c r="X55" s="85">
        <f t="shared" si="35"/>
        <v>0</v>
      </c>
      <c r="Y55" s="85">
        <f t="shared" si="35"/>
        <v>0</v>
      </c>
      <c r="Z55" s="85">
        <f t="shared" si="35"/>
        <v>0</v>
      </c>
      <c r="AA55" s="226"/>
    </row>
    <row r="56" spans="2:27" x14ac:dyDescent="0.2">
      <c r="B56" s="251">
        <v>8</v>
      </c>
      <c r="C56" s="295" t="str">
        <f>IF(AND(NOT(COUNTA(D56:I56)),(NOT(COUNTA(L56:O56))),(NOT(COUNTA(R56:Z56)))),"",VLOOKUP($D$7,Info_County_Code,2,FALSE))</f>
        <v/>
      </c>
      <c r="D56" s="261"/>
      <c r="E56" s="296"/>
      <c r="F56" s="296"/>
      <c r="G56" s="296"/>
      <c r="H56" s="241"/>
      <c r="I56" s="241"/>
      <c r="J56" s="245" t="str">
        <f>IF(NOT(ISBLANK(D56)),$J$28,"")</f>
        <v/>
      </c>
      <c r="K56" s="239">
        <f t="shared" si="6"/>
        <v>0</v>
      </c>
      <c r="L56" s="247"/>
      <c r="M56" s="241"/>
      <c r="N56" s="241"/>
      <c r="O56" s="242"/>
      <c r="P56" s="243">
        <f t="shared" si="8"/>
        <v>0</v>
      </c>
      <c r="Q56" s="241"/>
      <c r="R56" s="241"/>
      <c r="S56" s="241"/>
      <c r="T56" s="241"/>
      <c r="U56" s="241"/>
      <c r="V56" s="241"/>
      <c r="W56" s="241"/>
      <c r="X56" s="241"/>
      <c r="Y56" s="241"/>
      <c r="Z56" s="241"/>
      <c r="AA56" s="226"/>
    </row>
    <row r="57" spans="2:27" x14ac:dyDescent="0.2">
      <c r="B57" s="251">
        <v>8</v>
      </c>
      <c r="C57" s="297" t="str">
        <f t="shared" ref="C57:I57" si="36">IF(ISBLANK(C56),"",C56)</f>
        <v/>
      </c>
      <c r="D57" s="298" t="str">
        <f t="shared" si="36"/>
        <v/>
      </c>
      <c r="E57" s="299" t="str">
        <f t="shared" si="36"/>
        <v/>
      </c>
      <c r="F57" s="299" t="str">
        <f t="shared" si="36"/>
        <v/>
      </c>
      <c r="G57" s="299" t="str">
        <f t="shared" si="36"/>
        <v/>
      </c>
      <c r="H57" s="249" t="str">
        <f t="shared" si="36"/>
        <v/>
      </c>
      <c r="I57" s="249" t="str">
        <f t="shared" si="36"/>
        <v/>
      </c>
      <c r="J57" s="246" t="str">
        <f>IF(NOT(ISBLANK(D56)),$J$29,"")</f>
        <v/>
      </c>
      <c r="K57" s="239">
        <f t="shared" si="6"/>
        <v>0</v>
      </c>
      <c r="L57" s="247"/>
      <c r="M57" s="241"/>
      <c r="N57" s="241"/>
      <c r="O57" s="242"/>
      <c r="P57" s="243">
        <f t="shared" si="8"/>
        <v>0</v>
      </c>
      <c r="Q57" s="241"/>
      <c r="R57" s="241"/>
      <c r="S57" s="241"/>
      <c r="T57" s="241"/>
      <c r="U57" s="241"/>
      <c r="V57" s="241"/>
      <c r="W57" s="241"/>
      <c r="X57" s="241"/>
      <c r="Y57" s="241"/>
      <c r="Z57" s="241"/>
      <c r="AA57" s="226"/>
    </row>
    <row r="58" spans="2:27" x14ac:dyDescent="0.2">
      <c r="B58" s="251">
        <v>8</v>
      </c>
      <c r="C58" s="297" t="str">
        <f t="shared" ref="C58:I58" si="37">IF(ISBLANK(C56),"",C56)</f>
        <v/>
      </c>
      <c r="D58" s="300" t="str">
        <f t="shared" si="37"/>
        <v/>
      </c>
      <c r="E58" s="301" t="str">
        <f t="shared" si="37"/>
        <v/>
      </c>
      <c r="F58" s="301" t="str">
        <f t="shared" si="37"/>
        <v/>
      </c>
      <c r="G58" s="301" t="str">
        <f t="shared" si="37"/>
        <v/>
      </c>
      <c r="H58" s="246" t="str">
        <f t="shared" si="37"/>
        <v/>
      </c>
      <c r="I58" s="246" t="str">
        <f t="shared" si="37"/>
        <v/>
      </c>
      <c r="J58" s="246" t="str">
        <f>IF(NOT(ISBLANK(D56)),$J$30,"")</f>
        <v/>
      </c>
      <c r="K58" s="239">
        <f t="shared" si="6"/>
        <v>0</v>
      </c>
      <c r="L58" s="247"/>
      <c r="M58" s="241"/>
      <c r="N58" s="241"/>
      <c r="O58" s="242"/>
      <c r="P58" s="243">
        <f t="shared" si="8"/>
        <v>0</v>
      </c>
      <c r="Q58" s="241"/>
      <c r="R58" s="241"/>
      <c r="S58" s="241"/>
      <c r="T58" s="241"/>
      <c r="U58" s="241"/>
      <c r="V58" s="241"/>
      <c r="W58" s="241"/>
      <c r="X58" s="241"/>
      <c r="Y58" s="241"/>
      <c r="Z58" s="241"/>
      <c r="AA58" s="226"/>
    </row>
    <row r="59" spans="2:27" ht="15.75" x14ac:dyDescent="0.25">
      <c r="B59" s="209">
        <v>8</v>
      </c>
      <c r="C59" s="69" t="str">
        <f t="shared" ref="C59:I59" si="38">IF(ISBLANK(C56),"",C56)</f>
        <v/>
      </c>
      <c r="D59" s="82" t="str">
        <f t="shared" si="38"/>
        <v/>
      </c>
      <c r="E59" s="83" t="str">
        <f t="shared" si="38"/>
        <v/>
      </c>
      <c r="F59" s="83" t="str">
        <f t="shared" si="38"/>
        <v/>
      </c>
      <c r="G59" s="83" t="str">
        <f t="shared" si="38"/>
        <v/>
      </c>
      <c r="H59" s="84" t="str">
        <f t="shared" si="38"/>
        <v/>
      </c>
      <c r="I59" s="84" t="str">
        <f t="shared" si="38"/>
        <v/>
      </c>
      <c r="J59" s="52" t="str">
        <f>IF(NOT(ISBLANK(D56)),$J$31,"")</f>
        <v/>
      </c>
      <c r="K59" s="110">
        <f t="shared" si="6"/>
        <v>0</v>
      </c>
      <c r="L59" s="130">
        <f>SUM(L56:L58)</f>
        <v>0</v>
      </c>
      <c r="M59" s="85">
        <f>SUM(M56:M58)</f>
        <v>0</v>
      </c>
      <c r="N59" s="85">
        <f>SUM(N56:N58)</f>
        <v>0</v>
      </c>
      <c r="O59" s="134">
        <f>SUM(O56:O58)</f>
        <v>0</v>
      </c>
      <c r="P59" s="108">
        <f t="shared" si="8"/>
        <v>0</v>
      </c>
      <c r="Q59" s="85">
        <f t="shared" ref="Q59:Z59" si="39">SUM(Q56:Q58)</f>
        <v>0</v>
      </c>
      <c r="R59" s="85">
        <f t="shared" si="39"/>
        <v>0</v>
      </c>
      <c r="S59" s="85">
        <f t="shared" si="39"/>
        <v>0</v>
      </c>
      <c r="T59" s="85">
        <f t="shared" si="39"/>
        <v>0</v>
      </c>
      <c r="U59" s="85">
        <f t="shared" si="39"/>
        <v>0</v>
      </c>
      <c r="V59" s="85">
        <f t="shared" si="39"/>
        <v>0</v>
      </c>
      <c r="W59" s="85">
        <f t="shared" si="39"/>
        <v>0</v>
      </c>
      <c r="X59" s="85">
        <f t="shared" si="39"/>
        <v>0</v>
      </c>
      <c r="Y59" s="85">
        <f t="shared" si="39"/>
        <v>0</v>
      </c>
      <c r="Z59" s="85">
        <f t="shared" si="39"/>
        <v>0</v>
      </c>
      <c r="AA59" s="226"/>
    </row>
    <row r="60" spans="2:27" x14ac:dyDescent="0.2">
      <c r="B60" s="251">
        <v>9</v>
      </c>
      <c r="C60" s="295" t="str">
        <f>IF(AND(NOT(COUNTA(D60:I60)),(NOT(COUNTA(L60:O60))),(NOT(COUNTA(R60:Z60)))),"",VLOOKUP($D$7,Info_County_Code,2,FALSE))</f>
        <v/>
      </c>
      <c r="D60" s="261"/>
      <c r="E60" s="296"/>
      <c r="F60" s="296"/>
      <c r="G60" s="296"/>
      <c r="H60" s="241"/>
      <c r="I60" s="241"/>
      <c r="J60" s="245" t="str">
        <f>IF(NOT(ISBLANK(D60)),$J$28,"")</f>
        <v/>
      </c>
      <c r="K60" s="239">
        <f t="shared" si="6"/>
        <v>0</v>
      </c>
      <c r="L60" s="247"/>
      <c r="M60" s="241"/>
      <c r="N60" s="241"/>
      <c r="O60" s="242"/>
      <c r="P60" s="243">
        <f t="shared" si="8"/>
        <v>0</v>
      </c>
      <c r="Q60" s="241"/>
      <c r="R60" s="241"/>
      <c r="S60" s="241"/>
      <c r="T60" s="241"/>
      <c r="U60" s="241"/>
      <c r="V60" s="241"/>
      <c r="W60" s="241"/>
      <c r="X60" s="241"/>
      <c r="Y60" s="241"/>
      <c r="Z60" s="241"/>
      <c r="AA60" s="226"/>
    </row>
    <row r="61" spans="2:27" x14ac:dyDescent="0.2">
      <c r="B61" s="251">
        <v>9</v>
      </c>
      <c r="C61" s="297" t="str">
        <f t="shared" ref="C61:I61" si="40">IF(ISBLANK(C60),"",C60)</f>
        <v/>
      </c>
      <c r="D61" s="298" t="str">
        <f t="shared" si="40"/>
        <v/>
      </c>
      <c r="E61" s="299" t="str">
        <f t="shared" si="40"/>
        <v/>
      </c>
      <c r="F61" s="299" t="str">
        <f t="shared" si="40"/>
        <v/>
      </c>
      <c r="G61" s="299" t="str">
        <f t="shared" si="40"/>
        <v/>
      </c>
      <c r="H61" s="249" t="str">
        <f t="shared" si="40"/>
        <v/>
      </c>
      <c r="I61" s="249" t="str">
        <f t="shared" si="40"/>
        <v/>
      </c>
      <c r="J61" s="246" t="str">
        <f>IF(NOT(ISBLANK(D60)),$J$29,"")</f>
        <v/>
      </c>
      <c r="K61" s="239">
        <f t="shared" si="6"/>
        <v>0</v>
      </c>
      <c r="L61" s="247"/>
      <c r="M61" s="241"/>
      <c r="N61" s="241"/>
      <c r="O61" s="242"/>
      <c r="P61" s="243">
        <f t="shared" si="8"/>
        <v>0</v>
      </c>
      <c r="Q61" s="241"/>
      <c r="R61" s="241"/>
      <c r="S61" s="241"/>
      <c r="T61" s="241"/>
      <c r="U61" s="241"/>
      <c r="V61" s="241"/>
      <c r="W61" s="241"/>
      <c r="X61" s="241"/>
      <c r="Y61" s="241"/>
      <c r="Z61" s="241"/>
      <c r="AA61" s="226"/>
    </row>
    <row r="62" spans="2:27" x14ac:dyDescent="0.2">
      <c r="B62" s="251">
        <v>9</v>
      </c>
      <c r="C62" s="297" t="str">
        <f t="shared" ref="C62:I62" si="41">IF(ISBLANK(C60),"",C60)</f>
        <v/>
      </c>
      <c r="D62" s="300" t="str">
        <f t="shared" si="41"/>
        <v/>
      </c>
      <c r="E62" s="301" t="str">
        <f t="shared" si="41"/>
        <v/>
      </c>
      <c r="F62" s="301" t="str">
        <f t="shared" si="41"/>
        <v/>
      </c>
      <c r="G62" s="301" t="str">
        <f t="shared" si="41"/>
        <v/>
      </c>
      <c r="H62" s="246" t="str">
        <f t="shared" si="41"/>
        <v/>
      </c>
      <c r="I62" s="246" t="str">
        <f t="shared" si="41"/>
        <v/>
      </c>
      <c r="J62" s="246" t="str">
        <f>IF(NOT(ISBLANK(D60)),$J$30,"")</f>
        <v/>
      </c>
      <c r="K62" s="239">
        <f t="shared" si="6"/>
        <v>0</v>
      </c>
      <c r="L62" s="247"/>
      <c r="M62" s="241"/>
      <c r="N62" s="241"/>
      <c r="O62" s="242"/>
      <c r="P62" s="243">
        <f t="shared" si="8"/>
        <v>0</v>
      </c>
      <c r="Q62" s="241"/>
      <c r="R62" s="241"/>
      <c r="S62" s="241"/>
      <c r="T62" s="241"/>
      <c r="U62" s="241"/>
      <c r="V62" s="241"/>
      <c r="W62" s="241"/>
      <c r="X62" s="241"/>
      <c r="Y62" s="241"/>
      <c r="Z62" s="241"/>
      <c r="AA62" s="226"/>
    </row>
    <row r="63" spans="2:27" ht="15.75" x14ac:dyDescent="0.25">
      <c r="B63" s="209">
        <v>9</v>
      </c>
      <c r="C63" s="69" t="str">
        <f t="shared" ref="C63:I63" si="42">IF(ISBLANK(C60),"",C60)</f>
        <v/>
      </c>
      <c r="D63" s="82" t="str">
        <f t="shared" si="42"/>
        <v/>
      </c>
      <c r="E63" s="83" t="str">
        <f t="shared" si="42"/>
        <v/>
      </c>
      <c r="F63" s="83" t="str">
        <f t="shared" si="42"/>
        <v/>
      </c>
      <c r="G63" s="83" t="str">
        <f t="shared" si="42"/>
        <v/>
      </c>
      <c r="H63" s="84" t="str">
        <f t="shared" si="42"/>
        <v/>
      </c>
      <c r="I63" s="84" t="str">
        <f t="shared" si="42"/>
        <v/>
      </c>
      <c r="J63" s="52" t="str">
        <f>IF(NOT(ISBLANK(D60)),$J$31,"")</f>
        <v/>
      </c>
      <c r="K63" s="110">
        <f t="shared" si="6"/>
        <v>0</v>
      </c>
      <c r="L63" s="130">
        <f>SUM(L60:L62)</f>
        <v>0</v>
      </c>
      <c r="M63" s="85">
        <f>SUM(M60:M62)</f>
        <v>0</v>
      </c>
      <c r="N63" s="85">
        <f>SUM(N60:N62)</f>
        <v>0</v>
      </c>
      <c r="O63" s="134">
        <f>SUM(O60:O62)</f>
        <v>0</v>
      </c>
      <c r="P63" s="108">
        <f t="shared" si="8"/>
        <v>0</v>
      </c>
      <c r="Q63" s="85">
        <f t="shared" ref="Q63:Z63" si="43">SUM(Q60:Q62)</f>
        <v>0</v>
      </c>
      <c r="R63" s="85">
        <f t="shared" si="43"/>
        <v>0</v>
      </c>
      <c r="S63" s="85">
        <f t="shared" si="43"/>
        <v>0</v>
      </c>
      <c r="T63" s="85">
        <f t="shared" si="43"/>
        <v>0</v>
      </c>
      <c r="U63" s="85">
        <f t="shared" si="43"/>
        <v>0</v>
      </c>
      <c r="V63" s="85">
        <f t="shared" si="43"/>
        <v>0</v>
      </c>
      <c r="W63" s="85">
        <f t="shared" si="43"/>
        <v>0</v>
      </c>
      <c r="X63" s="85">
        <f t="shared" si="43"/>
        <v>0</v>
      </c>
      <c r="Y63" s="85">
        <f t="shared" si="43"/>
        <v>0</v>
      </c>
      <c r="Z63" s="85">
        <f t="shared" si="43"/>
        <v>0</v>
      </c>
      <c r="AA63" s="226"/>
    </row>
    <row r="64" spans="2:27" x14ac:dyDescent="0.2">
      <c r="B64" s="251">
        <v>10</v>
      </c>
      <c r="C64" s="295" t="str">
        <f>IF(AND(NOT(COUNTA(D64:I64)),(NOT(COUNTA(L64:O64))),(NOT(COUNTA(R64:Z64)))),"",VLOOKUP($D$7,Info_County_Code,2,FALSE))</f>
        <v/>
      </c>
      <c r="D64" s="261"/>
      <c r="E64" s="296"/>
      <c r="F64" s="296"/>
      <c r="G64" s="296"/>
      <c r="H64" s="241"/>
      <c r="I64" s="241"/>
      <c r="J64" s="245" t="str">
        <f>IF(NOT(ISBLANK(D64)),$J$28,"")</f>
        <v/>
      </c>
      <c r="K64" s="239">
        <f t="shared" si="6"/>
        <v>0</v>
      </c>
      <c r="L64" s="247"/>
      <c r="M64" s="241"/>
      <c r="N64" s="241"/>
      <c r="O64" s="242"/>
      <c r="P64" s="243">
        <f t="shared" si="8"/>
        <v>0</v>
      </c>
      <c r="Q64" s="241"/>
      <c r="R64" s="241"/>
      <c r="S64" s="241"/>
      <c r="T64" s="241"/>
      <c r="U64" s="241"/>
      <c r="V64" s="241"/>
      <c r="W64" s="241"/>
      <c r="X64" s="241"/>
      <c r="Y64" s="241"/>
      <c r="Z64" s="241"/>
      <c r="AA64" s="226"/>
    </row>
    <row r="65" spans="2:27" x14ac:dyDescent="0.2">
      <c r="B65" s="251">
        <v>10</v>
      </c>
      <c r="C65" s="297" t="str">
        <f t="shared" ref="C65:I65" si="44">IF(ISBLANK(C64),"",C64)</f>
        <v/>
      </c>
      <c r="D65" s="298" t="str">
        <f t="shared" si="44"/>
        <v/>
      </c>
      <c r="E65" s="299" t="str">
        <f t="shared" si="44"/>
        <v/>
      </c>
      <c r="F65" s="299" t="str">
        <f t="shared" si="44"/>
        <v/>
      </c>
      <c r="G65" s="299" t="str">
        <f t="shared" si="44"/>
        <v/>
      </c>
      <c r="H65" s="249" t="str">
        <f t="shared" si="44"/>
        <v/>
      </c>
      <c r="I65" s="249" t="str">
        <f t="shared" si="44"/>
        <v/>
      </c>
      <c r="J65" s="246" t="str">
        <f>IF(NOT(ISBLANK(D64)),$J$29,"")</f>
        <v/>
      </c>
      <c r="K65" s="239">
        <f t="shared" si="6"/>
        <v>0</v>
      </c>
      <c r="L65" s="247"/>
      <c r="M65" s="241"/>
      <c r="N65" s="241"/>
      <c r="O65" s="242"/>
      <c r="P65" s="243">
        <f t="shared" si="8"/>
        <v>0</v>
      </c>
      <c r="Q65" s="241"/>
      <c r="R65" s="241"/>
      <c r="S65" s="241"/>
      <c r="T65" s="241"/>
      <c r="U65" s="241"/>
      <c r="V65" s="241"/>
      <c r="W65" s="241"/>
      <c r="X65" s="241"/>
      <c r="Y65" s="241"/>
      <c r="Z65" s="241"/>
      <c r="AA65" s="226"/>
    </row>
    <row r="66" spans="2:27" x14ac:dyDescent="0.2">
      <c r="B66" s="251">
        <v>10</v>
      </c>
      <c r="C66" s="297" t="str">
        <f t="shared" ref="C66:I66" si="45">IF(ISBLANK(C64),"",C64)</f>
        <v/>
      </c>
      <c r="D66" s="300" t="str">
        <f t="shared" si="45"/>
        <v/>
      </c>
      <c r="E66" s="301" t="str">
        <f t="shared" si="45"/>
        <v/>
      </c>
      <c r="F66" s="301" t="str">
        <f t="shared" si="45"/>
        <v/>
      </c>
      <c r="G66" s="301" t="str">
        <f t="shared" si="45"/>
        <v/>
      </c>
      <c r="H66" s="246" t="str">
        <f t="shared" si="45"/>
        <v/>
      </c>
      <c r="I66" s="246" t="str">
        <f t="shared" si="45"/>
        <v/>
      </c>
      <c r="J66" s="246" t="str">
        <f>IF(NOT(ISBLANK(D64)),$J$30,"")</f>
        <v/>
      </c>
      <c r="K66" s="239">
        <f t="shared" si="6"/>
        <v>0</v>
      </c>
      <c r="L66" s="247"/>
      <c r="M66" s="241"/>
      <c r="N66" s="241"/>
      <c r="O66" s="242"/>
      <c r="P66" s="243">
        <f t="shared" si="8"/>
        <v>0</v>
      </c>
      <c r="Q66" s="241"/>
      <c r="R66" s="241"/>
      <c r="S66" s="241"/>
      <c r="T66" s="241"/>
      <c r="U66" s="241"/>
      <c r="V66" s="241"/>
      <c r="W66" s="241"/>
      <c r="X66" s="241"/>
      <c r="Y66" s="241"/>
      <c r="Z66" s="241"/>
      <c r="AA66" s="226"/>
    </row>
    <row r="67" spans="2:27" ht="15.75" x14ac:dyDescent="0.25">
      <c r="B67" s="209">
        <v>10</v>
      </c>
      <c r="C67" s="69" t="str">
        <f t="shared" ref="C67:I67" si="46">IF(ISBLANK(C64),"",C64)</f>
        <v/>
      </c>
      <c r="D67" s="82" t="str">
        <f t="shared" si="46"/>
        <v/>
      </c>
      <c r="E67" s="83" t="str">
        <f t="shared" si="46"/>
        <v/>
      </c>
      <c r="F67" s="83" t="str">
        <f t="shared" si="46"/>
        <v/>
      </c>
      <c r="G67" s="83" t="str">
        <f t="shared" si="46"/>
        <v/>
      </c>
      <c r="H67" s="84" t="str">
        <f t="shared" si="46"/>
        <v/>
      </c>
      <c r="I67" s="84" t="str">
        <f t="shared" si="46"/>
        <v/>
      </c>
      <c r="J67" s="52" t="str">
        <f>IF(NOT(ISBLANK(D64)),$J$31,"")</f>
        <v/>
      </c>
      <c r="K67" s="110">
        <f t="shared" si="6"/>
        <v>0</v>
      </c>
      <c r="L67" s="130">
        <f>SUM(L64:L66)</f>
        <v>0</v>
      </c>
      <c r="M67" s="85">
        <f>SUM(M64:M66)</f>
        <v>0</v>
      </c>
      <c r="N67" s="85">
        <f>SUM(N64:N66)</f>
        <v>0</v>
      </c>
      <c r="O67" s="134">
        <f>SUM(O64:O66)</f>
        <v>0</v>
      </c>
      <c r="P67" s="108">
        <f t="shared" si="8"/>
        <v>0</v>
      </c>
      <c r="Q67" s="85">
        <f t="shared" ref="Q67:Z67" si="47">SUM(Q64:Q66)</f>
        <v>0</v>
      </c>
      <c r="R67" s="85">
        <f t="shared" si="47"/>
        <v>0</v>
      </c>
      <c r="S67" s="85">
        <f t="shared" si="47"/>
        <v>0</v>
      </c>
      <c r="T67" s="85">
        <f t="shared" si="47"/>
        <v>0</v>
      </c>
      <c r="U67" s="85">
        <f t="shared" si="47"/>
        <v>0</v>
      </c>
      <c r="V67" s="85">
        <f t="shared" si="47"/>
        <v>0</v>
      </c>
      <c r="W67" s="85">
        <f t="shared" si="47"/>
        <v>0</v>
      </c>
      <c r="X67" s="85">
        <f t="shared" si="47"/>
        <v>0</v>
      </c>
      <c r="Y67" s="85">
        <f t="shared" si="47"/>
        <v>0</v>
      </c>
      <c r="Z67" s="85">
        <f t="shared" si="47"/>
        <v>0</v>
      </c>
      <c r="AA67" s="226"/>
    </row>
    <row r="68" spans="2:27" x14ac:dyDescent="0.2">
      <c r="B68" s="251">
        <v>11</v>
      </c>
      <c r="C68" s="295" t="str">
        <f>IF(AND(NOT(COUNTA(D68:I68)),(NOT(COUNTA(L68:O68))),(NOT(COUNTA(R68:Z68)))),"",VLOOKUP($D$7,Info_County_Code,2,FALSE))</f>
        <v/>
      </c>
      <c r="D68" s="261"/>
      <c r="E68" s="296"/>
      <c r="F68" s="296"/>
      <c r="G68" s="296"/>
      <c r="H68" s="241"/>
      <c r="I68" s="241"/>
      <c r="J68" s="245" t="str">
        <f>IF(NOT(ISBLANK(D68)),$J$28,"")</f>
        <v/>
      </c>
      <c r="K68" s="239">
        <f t="shared" si="6"/>
        <v>0</v>
      </c>
      <c r="L68" s="247"/>
      <c r="M68" s="241"/>
      <c r="N68" s="241"/>
      <c r="O68" s="242"/>
      <c r="P68" s="243">
        <f t="shared" si="8"/>
        <v>0</v>
      </c>
      <c r="Q68" s="241"/>
      <c r="R68" s="241"/>
      <c r="S68" s="241"/>
      <c r="T68" s="241"/>
      <c r="U68" s="241"/>
      <c r="V68" s="241"/>
      <c r="W68" s="241"/>
      <c r="X68" s="241"/>
      <c r="Y68" s="241"/>
      <c r="Z68" s="241"/>
      <c r="AA68" s="226"/>
    </row>
    <row r="69" spans="2:27" x14ac:dyDescent="0.2">
      <c r="B69" s="251">
        <v>11</v>
      </c>
      <c r="C69" s="297" t="str">
        <f t="shared" ref="C69:I69" si="48">IF(ISBLANK(C68),"",C68)</f>
        <v/>
      </c>
      <c r="D69" s="298" t="str">
        <f t="shared" si="48"/>
        <v/>
      </c>
      <c r="E69" s="299" t="str">
        <f t="shared" si="48"/>
        <v/>
      </c>
      <c r="F69" s="299" t="str">
        <f t="shared" si="48"/>
        <v/>
      </c>
      <c r="G69" s="299" t="str">
        <f t="shared" si="48"/>
        <v/>
      </c>
      <c r="H69" s="249" t="str">
        <f t="shared" si="48"/>
        <v/>
      </c>
      <c r="I69" s="249" t="str">
        <f t="shared" si="48"/>
        <v/>
      </c>
      <c r="J69" s="246" t="str">
        <f>IF(NOT(ISBLANK(D68)),$J$29,"")</f>
        <v/>
      </c>
      <c r="K69" s="239">
        <f t="shared" si="6"/>
        <v>0</v>
      </c>
      <c r="L69" s="247"/>
      <c r="M69" s="241"/>
      <c r="N69" s="241"/>
      <c r="O69" s="242"/>
      <c r="P69" s="243">
        <f t="shared" si="8"/>
        <v>0</v>
      </c>
      <c r="Q69" s="241"/>
      <c r="R69" s="241"/>
      <c r="S69" s="241"/>
      <c r="T69" s="241"/>
      <c r="U69" s="241"/>
      <c r="V69" s="241"/>
      <c r="W69" s="241"/>
      <c r="X69" s="241"/>
      <c r="Y69" s="241"/>
      <c r="Z69" s="241"/>
      <c r="AA69" s="226"/>
    </row>
    <row r="70" spans="2:27" x14ac:dyDescent="0.2">
      <c r="B70" s="251">
        <v>11</v>
      </c>
      <c r="C70" s="297" t="str">
        <f t="shared" ref="C70:I70" si="49">IF(ISBLANK(C68),"",C68)</f>
        <v/>
      </c>
      <c r="D70" s="300" t="str">
        <f t="shared" si="49"/>
        <v/>
      </c>
      <c r="E70" s="301" t="str">
        <f t="shared" si="49"/>
        <v/>
      </c>
      <c r="F70" s="301" t="str">
        <f t="shared" si="49"/>
        <v/>
      </c>
      <c r="G70" s="301" t="str">
        <f t="shared" si="49"/>
        <v/>
      </c>
      <c r="H70" s="246" t="str">
        <f t="shared" si="49"/>
        <v/>
      </c>
      <c r="I70" s="246" t="str">
        <f t="shared" si="49"/>
        <v/>
      </c>
      <c r="J70" s="246" t="str">
        <f>IF(NOT(ISBLANK(D68)),$J$30,"")</f>
        <v/>
      </c>
      <c r="K70" s="239">
        <f t="shared" si="6"/>
        <v>0</v>
      </c>
      <c r="L70" s="247"/>
      <c r="M70" s="241"/>
      <c r="N70" s="241"/>
      <c r="O70" s="242"/>
      <c r="P70" s="243">
        <f t="shared" si="8"/>
        <v>0</v>
      </c>
      <c r="Q70" s="241"/>
      <c r="R70" s="241"/>
      <c r="S70" s="241"/>
      <c r="T70" s="241"/>
      <c r="U70" s="241"/>
      <c r="V70" s="241"/>
      <c r="W70" s="241"/>
      <c r="X70" s="241"/>
      <c r="Y70" s="241"/>
      <c r="Z70" s="241"/>
      <c r="AA70" s="226"/>
    </row>
    <row r="71" spans="2:27" ht="15.75" x14ac:dyDescent="0.25">
      <c r="B71" s="209">
        <v>11</v>
      </c>
      <c r="C71" s="69" t="str">
        <f t="shared" ref="C71:I71" si="50">IF(ISBLANK(C68),"",C68)</f>
        <v/>
      </c>
      <c r="D71" s="82" t="str">
        <f t="shared" si="50"/>
        <v/>
      </c>
      <c r="E71" s="83" t="str">
        <f t="shared" si="50"/>
        <v/>
      </c>
      <c r="F71" s="83" t="str">
        <f t="shared" si="50"/>
        <v/>
      </c>
      <c r="G71" s="83" t="str">
        <f t="shared" si="50"/>
        <v/>
      </c>
      <c r="H71" s="84" t="str">
        <f t="shared" si="50"/>
        <v/>
      </c>
      <c r="I71" s="84" t="str">
        <f t="shared" si="50"/>
        <v/>
      </c>
      <c r="J71" s="52" t="str">
        <f>IF(NOT(ISBLANK(D68)),$J$31,"")</f>
        <v/>
      </c>
      <c r="K71" s="110">
        <f t="shared" si="6"/>
        <v>0</v>
      </c>
      <c r="L71" s="130">
        <f>SUM(L68:L70)</f>
        <v>0</v>
      </c>
      <c r="M71" s="85">
        <f>SUM(M68:M70)</f>
        <v>0</v>
      </c>
      <c r="N71" s="85">
        <f>SUM(N68:N70)</f>
        <v>0</v>
      </c>
      <c r="O71" s="134">
        <f>SUM(O68:O70)</f>
        <v>0</v>
      </c>
      <c r="P71" s="108">
        <f t="shared" si="8"/>
        <v>0</v>
      </c>
      <c r="Q71" s="85">
        <f t="shared" ref="Q71:Z71" si="51">SUM(Q68:Q70)</f>
        <v>0</v>
      </c>
      <c r="R71" s="85">
        <f t="shared" si="51"/>
        <v>0</v>
      </c>
      <c r="S71" s="85">
        <f t="shared" si="51"/>
        <v>0</v>
      </c>
      <c r="T71" s="85">
        <f t="shared" si="51"/>
        <v>0</v>
      </c>
      <c r="U71" s="85">
        <f t="shared" si="51"/>
        <v>0</v>
      </c>
      <c r="V71" s="85">
        <f t="shared" si="51"/>
        <v>0</v>
      </c>
      <c r="W71" s="85">
        <f t="shared" si="51"/>
        <v>0</v>
      </c>
      <c r="X71" s="85">
        <f t="shared" si="51"/>
        <v>0</v>
      </c>
      <c r="Y71" s="85">
        <f t="shared" si="51"/>
        <v>0</v>
      </c>
      <c r="Z71" s="85">
        <f t="shared" si="51"/>
        <v>0</v>
      </c>
      <c r="AA71" s="226"/>
    </row>
    <row r="72" spans="2:27" x14ac:dyDescent="0.2">
      <c r="B72" s="251">
        <v>12</v>
      </c>
      <c r="C72" s="295" t="str">
        <f>IF(AND(NOT(COUNTA(D72:I72)),(NOT(COUNTA(L72:O72))),(NOT(COUNTA(R72:Z72)))),"",VLOOKUP($D$7,Info_County_Code,2,FALSE))</f>
        <v/>
      </c>
      <c r="D72" s="261"/>
      <c r="E72" s="296"/>
      <c r="F72" s="296"/>
      <c r="G72" s="296"/>
      <c r="H72" s="241"/>
      <c r="I72" s="241"/>
      <c r="J72" s="245" t="str">
        <f>IF(NOT(ISBLANK(D72)),$J$28,"")</f>
        <v/>
      </c>
      <c r="K72" s="239">
        <f t="shared" si="6"/>
        <v>0</v>
      </c>
      <c r="L72" s="247"/>
      <c r="M72" s="241"/>
      <c r="N72" s="241"/>
      <c r="O72" s="242"/>
      <c r="P72" s="243">
        <f t="shared" si="8"/>
        <v>0</v>
      </c>
      <c r="Q72" s="241"/>
      <c r="R72" s="241"/>
      <c r="S72" s="241"/>
      <c r="T72" s="241"/>
      <c r="U72" s="241"/>
      <c r="V72" s="241"/>
      <c r="W72" s="241"/>
      <c r="X72" s="241"/>
      <c r="Y72" s="241"/>
      <c r="Z72" s="241"/>
      <c r="AA72" s="226"/>
    </row>
    <row r="73" spans="2:27" x14ac:dyDescent="0.2">
      <c r="B73" s="251">
        <v>12</v>
      </c>
      <c r="C73" s="297" t="str">
        <f t="shared" ref="C73:I73" si="52">IF(ISBLANK(C72),"",C72)</f>
        <v/>
      </c>
      <c r="D73" s="298" t="str">
        <f t="shared" si="52"/>
        <v/>
      </c>
      <c r="E73" s="299" t="str">
        <f t="shared" si="52"/>
        <v/>
      </c>
      <c r="F73" s="299" t="str">
        <f t="shared" si="52"/>
        <v/>
      </c>
      <c r="G73" s="299" t="str">
        <f t="shared" si="52"/>
        <v/>
      </c>
      <c r="H73" s="249" t="str">
        <f t="shared" si="52"/>
        <v/>
      </c>
      <c r="I73" s="249" t="str">
        <f t="shared" si="52"/>
        <v/>
      </c>
      <c r="J73" s="246" t="str">
        <f>IF(NOT(ISBLANK(D72)),$J$29,"")</f>
        <v/>
      </c>
      <c r="K73" s="239">
        <f t="shared" si="6"/>
        <v>0</v>
      </c>
      <c r="L73" s="247"/>
      <c r="M73" s="241"/>
      <c r="N73" s="241"/>
      <c r="O73" s="242"/>
      <c r="P73" s="243">
        <f t="shared" si="8"/>
        <v>0</v>
      </c>
      <c r="Q73" s="241"/>
      <c r="R73" s="241"/>
      <c r="S73" s="241"/>
      <c r="T73" s="241"/>
      <c r="U73" s="241"/>
      <c r="V73" s="241"/>
      <c r="W73" s="241"/>
      <c r="X73" s="241"/>
      <c r="Y73" s="241"/>
      <c r="Z73" s="241"/>
      <c r="AA73" s="226"/>
    </row>
    <row r="74" spans="2:27" x14ac:dyDescent="0.2">
      <c r="B74" s="251">
        <v>12</v>
      </c>
      <c r="C74" s="297" t="str">
        <f t="shared" ref="C74:I74" si="53">IF(ISBLANK(C72),"",C72)</f>
        <v/>
      </c>
      <c r="D74" s="300" t="str">
        <f t="shared" si="53"/>
        <v/>
      </c>
      <c r="E74" s="301" t="str">
        <f t="shared" si="53"/>
        <v/>
      </c>
      <c r="F74" s="301" t="str">
        <f t="shared" si="53"/>
        <v/>
      </c>
      <c r="G74" s="301" t="str">
        <f t="shared" si="53"/>
        <v/>
      </c>
      <c r="H74" s="246" t="str">
        <f t="shared" si="53"/>
        <v/>
      </c>
      <c r="I74" s="246" t="str">
        <f t="shared" si="53"/>
        <v/>
      </c>
      <c r="J74" s="246" t="str">
        <f>IF(NOT(ISBLANK(D72)),$J$30,"")</f>
        <v/>
      </c>
      <c r="K74" s="239">
        <f t="shared" si="6"/>
        <v>0</v>
      </c>
      <c r="L74" s="247"/>
      <c r="M74" s="241"/>
      <c r="N74" s="241"/>
      <c r="O74" s="242"/>
      <c r="P74" s="243">
        <f t="shared" si="8"/>
        <v>0</v>
      </c>
      <c r="Q74" s="241"/>
      <c r="R74" s="241"/>
      <c r="S74" s="241"/>
      <c r="T74" s="241"/>
      <c r="U74" s="241"/>
      <c r="V74" s="241"/>
      <c r="W74" s="241"/>
      <c r="X74" s="241"/>
      <c r="Y74" s="241"/>
      <c r="Z74" s="241"/>
      <c r="AA74" s="226"/>
    </row>
    <row r="75" spans="2:27" ht="15.75" x14ac:dyDescent="0.25">
      <c r="B75" s="209">
        <v>12</v>
      </c>
      <c r="C75" s="69" t="str">
        <f t="shared" ref="C75:I75" si="54">IF(ISBLANK(C72),"",C72)</f>
        <v/>
      </c>
      <c r="D75" s="82" t="str">
        <f t="shared" si="54"/>
        <v/>
      </c>
      <c r="E75" s="83" t="str">
        <f t="shared" si="54"/>
        <v/>
      </c>
      <c r="F75" s="83" t="str">
        <f t="shared" si="54"/>
        <v/>
      </c>
      <c r="G75" s="83" t="str">
        <f t="shared" si="54"/>
        <v/>
      </c>
      <c r="H75" s="84" t="str">
        <f t="shared" si="54"/>
        <v/>
      </c>
      <c r="I75" s="84" t="str">
        <f t="shared" si="54"/>
        <v/>
      </c>
      <c r="J75" s="52" t="str">
        <f>IF(NOT(ISBLANK(D72)),$J$31,"")</f>
        <v/>
      </c>
      <c r="K75" s="110">
        <f t="shared" si="6"/>
        <v>0</v>
      </c>
      <c r="L75" s="130">
        <f>SUM(L72:L74)</f>
        <v>0</v>
      </c>
      <c r="M75" s="85">
        <f>SUM(M72:M74)</f>
        <v>0</v>
      </c>
      <c r="N75" s="85">
        <f>SUM(N72:N74)</f>
        <v>0</v>
      </c>
      <c r="O75" s="134">
        <f>SUM(O72:O74)</f>
        <v>0</v>
      </c>
      <c r="P75" s="108">
        <f t="shared" si="8"/>
        <v>0</v>
      </c>
      <c r="Q75" s="85">
        <f t="shared" ref="Q75:Z75" si="55">SUM(Q72:Q74)</f>
        <v>0</v>
      </c>
      <c r="R75" s="85">
        <f t="shared" si="55"/>
        <v>0</v>
      </c>
      <c r="S75" s="85">
        <f t="shared" si="55"/>
        <v>0</v>
      </c>
      <c r="T75" s="85">
        <f t="shared" si="55"/>
        <v>0</v>
      </c>
      <c r="U75" s="85">
        <f t="shared" si="55"/>
        <v>0</v>
      </c>
      <c r="V75" s="85">
        <f t="shared" si="55"/>
        <v>0</v>
      </c>
      <c r="W75" s="85">
        <f t="shared" si="55"/>
        <v>0</v>
      </c>
      <c r="X75" s="85">
        <f t="shared" si="55"/>
        <v>0</v>
      </c>
      <c r="Y75" s="85">
        <f t="shared" si="55"/>
        <v>0</v>
      </c>
      <c r="Z75" s="85">
        <f t="shared" si="55"/>
        <v>0</v>
      </c>
      <c r="AA75" s="226"/>
    </row>
    <row r="76" spans="2:27" x14ac:dyDescent="0.2">
      <c r="B76" s="251">
        <v>13</v>
      </c>
      <c r="C76" s="295" t="str">
        <f>IF(AND(NOT(COUNTA(D76:I76)),(NOT(COUNTA(L76:O76))),(NOT(COUNTA(R76:Z76)))),"",VLOOKUP($D$7,Info_County_Code,2,FALSE))</f>
        <v/>
      </c>
      <c r="D76" s="261"/>
      <c r="E76" s="296"/>
      <c r="F76" s="296"/>
      <c r="G76" s="296"/>
      <c r="H76" s="241"/>
      <c r="I76" s="241"/>
      <c r="J76" s="245" t="str">
        <f>IF(NOT(ISBLANK(D76)),$J$28,"")</f>
        <v/>
      </c>
      <c r="K76" s="239">
        <f t="shared" si="6"/>
        <v>0</v>
      </c>
      <c r="L76" s="247"/>
      <c r="M76" s="241"/>
      <c r="N76" s="241"/>
      <c r="O76" s="242"/>
      <c r="P76" s="243">
        <f t="shared" si="8"/>
        <v>0</v>
      </c>
      <c r="Q76" s="241"/>
      <c r="R76" s="241"/>
      <c r="S76" s="241"/>
      <c r="T76" s="241"/>
      <c r="U76" s="241"/>
      <c r="V76" s="241"/>
      <c r="W76" s="241"/>
      <c r="X76" s="241"/>
      <c r="Y76" s="241"/>
      <c r="Z76" s="241"/>
      <c r="AA76" s="226"/>
    </row>
    <row r="77" spans="2:27" x14ac:dyDescent="0.2">
      <c r="B77" s="251">
        <v>13</v>
      </c>
      <c r="C77" s="297" t="str">
        <f t="shared" ref="C77:I77" si="56">IF(ISBLANK(C76),"",C76)</f>
        <v/>
      </c>
      <c r="D77" s="298" t="str">
        <f t="shared" si="56"/>
        <v/>
      </c>
      <c r="E77" s="299" t="str">
        <f t="shared" si="56"/>
        <v/>
      </c>
      <c r="F77" s="299" t="str">
        <f t="shared" si="56"/>
        <v/>
      </c>
      <c r="G77" s="299" t="str">
        <f t="shared" si="56"/>
        <v/>
      </c>
      <c r="H77" s="249" t="str">
        <f t="shared" si="56"/>
        <v/>
      </c>
      <c r="I77" s="249" t="str">
        <f t="shared" si="56"/>
        <v/>
      </c>
      <c r="J77" s="246" t="str">
        <f>IF(NOT(ISBLANK(D76)),$J$29,"")</f>
        <v/>
      </c>
      <c r="K77" s="239">
        <f t="shared" si="6"/>
        <v>0</v>
      </c>
      <c r="L77" s="247"/>
      <c r="M77" s="241"/>
      <c r="N77" s="241"/>
      <c r="O77" s="242"/>
      <c r="P77" s="243">
        <f t="shared" si="8"/>
        <v>0</v>
      </c>
      <c r="Q77" s="241"/>
      <c r="R77" s="241"/>
      <c r="S77" s="241"/>
      <c r="T77" s="241"/>
      <c r="U77" s="241"/>
      <c r="V77" s="241"/>
      <c r="W77" s="241"/>
      <c r="X77" s="241"/>
      <c r="Y77" s="241"/>
      <c r="Z77" s="241"/>
      <c r="AA77" s="226"/>
    </row>
    <row r="78" spans="2:27" x14ac:dyDescent="0.2">
      <c r="B78" s="251">
        <v>13</v>
      </c>
      <c r="C78" s="297" t="str">
        <f t="shared" ref="C78:I78" si="57">IF(ISBLANK(C76),"",C76)</f>
        <v/>
      </c>
      <c r="D78" s="300" t="str">
        <f t="shared" si="57"/>
        <v/>
      </c>
      <c r="E78" s="301" t="str">
        <f t="shared" si="57"/>
        <v/>
      </c>
      <c r="F78" s="301" t="str">
        <f t="shared" si="57"/>
        <v/>
      </c>
      <c r="G78" s="301" t="str">
        <f t="shared" si="57"/>
        <v/>
      </c>
      <c r="H78" s="246" t="str">
        <f t="shared" si="57"/>
        <v/>
      </c>
      <c r="I78" s="246" t="str">
        <f t="shared" si="57"/>
        <v/>
      </c>
      <c r="J78" s="246" t="str">
        <f>IF(NOT(ISBLANK(D76)),$J$30,"")</f>
        <v/>
      </c>
      <c r="K78" s="239">
        <f t="shared" si="6"/>
        <v>0</v>
      </c>
      <c r="L78" s="247"/>
      <c r="M78" s="241"/>
      <c r="N78" s="241"/>
      <c r="O78" s="242"/>
      <c r="P78" s="243">
        <f t="shared" si="8"/>
        <v>0</v>
      </c>
      <c r="Q78" s="241"/>
      <c r="R78" s="241"/>
      <c r="S78" s="241"/>
      <c r="T78" s="241"/>
      <c r="U78" s="241"/>
      <c r="V78" s="241"/>
      <c r="W78" s="241"/>
      <c r="X78" s="241"/>
      <c r="Y78" s="241"/>
      <c r="Z78" s="241"/>
      <c r="AA78" s="226"/>
    </row>
    <row r="79" spans="2:27" ht="15.75" x14ac:dyDescent="0.25">
      <c r="B79" s="209">
        <v>13</v>
      </c>
      <c r="C79" s="69" t="str">
        <f t="shared" ref="C79:I79" si="58">IF(ISBLANK(C76),"",C76)</f>
        <v/>
      </c>
      <c r="D79" s="82" t="str">
        <f t="shared" si="58"/>
        <v/>
      </c>
      <c r="E79" s="83" t="str">
        <f t="shared" si="58"/>
        <v/>
      </c>
      <c r="F79" s="83" t="str">
        <f t="shared" si="58"/>
        <v/>
      </c>
      <c r="G79" s="83" t="str">
        <f t="shared" si="58"/>
        <v/>
      </c>
      <c r="H79" s="84" t="str">
        <f t="shared" si="58"/>
        <v/>
      </c>
      <c r="I79" s="84" t="str">
        <f t="shared" si="58"/>
        <v/>
      </c>
      <c r="J79" s="52" t="str">
        <f>IF(NOT(ISBLANK(D76)),$J$31,"")</f>
        <v/>
      </c>
      <c r="K79" s="110">
        <f t="shared" si="6"/>
        <v>0</v>
      </c>
      <c r="L79" s="130">
        <f>SUM(L76:L78)</f>
        <v>0</v>
      </c>
      <c r="M79" s="85">
        <f>SUM(M76:M78)</f>
        <v>0</v>
      </c>
      <c r="N79" s="85">
        <f>SUM(N76:N78)</f>
        <v>0</v>
      </c>
      <c r="O79" s="134">
        <f>SUM(O76:O78)</f>
        <v>0</v>
      </c>
      <c r="P79" s="108">
        <f t="shared" si="8"/>
        <v>0</v>
      </c>
      <c r="Q79" s="85">
        <f t="shared" ref="Q79:Z79" si="59">SUM(Q76:Q78)</f>
        <v>0</v>
      </c>
      <c r="R79" s="85">
        <f t="shared" si="59"/>
        <v>0</v>
      </c>
      <c r="S79" s="85">
        <f t="shared" si="59"/>
        <v>0</v>
      </c>
      <c r="T79" s="85">
        <f t="shared" si="59"/>
        <v>0</v>
      </c>
      <c r="U79" s="85">
        <f t="shared" si="59"/>
        <v>0</v>
      </c>
      <c r="V79" s="85">
        <f t="shared" si="59"/>
        <v>0</v>
      </c>
      <c r="W79" s="85">
        <f t="shared" si="59"/>
        <v>0</v>
      </c>
      <c r="X79" s="85">
        <f t="shared" si="59"/>
        <v>0</v>
      </c>
      <c r="Y79" s="85">
        <f t="shared" si="59"/>
        <v>0</v>
      </c>
      <c r="Z79" s="85">
        <f t="shared" si="59"/>
        <v>0</v>
      </c>
      <c r="AA79" s="226"/>
    </row>
    <row r="80" spans="2:27" x14ac:dyDescent="0.2">
      <c r="B80" s="251">
        <v>14</v>
      </c>
      <c r="C80" s="295" t="str">
        <f>IF(AND(NOT(COUNTA(D80:I80)),(NOT(COUNTA(L80:O80))),(NOT(COUNTA(R80:Z80)))),"",VLOOKUP($D$7,Info_County_Code,2,FALSE))</f>
        <v/>
      </c>
      <c r="D80" s="261"/>
      <c r="E80" s="296"/>
      <c r="F80" s="296"/>
      <c r="G80" s="296"/>
      <c r="H80" s="241"/>
      <c r="I80" s="241"/>
      <c r="J80" s="245" t="str">
        <f>IF(NOT(ISBLANK(D80)),$J$28,"")</f>
        <v/>
      </c>
      <c r="K80" s="239">
        <f t="shared" si="6"/>
        <v>0</v>
      </c>
      <c r="L80" s="247"/>
      <c r="M80" s="241"/>
      <c r="N80" s="241"/>
      <c r="O80" s="242"/>
      <c r="P80" s="243">
        <f t="shared" si="8"/>
        <v>0</v>
      </c>
      <c r="Q80" s="241"/>
      <c r="R80" s="241"/>
      <c r="S80" s="241"/>
      <c r="T80" s="241"/>
      <c r="U80" s="241"/>
      <c r="V80" s="241"/>
      <c r="W80" s="241"/>
      <c r="X80" s="241"/>
      <c r="Y80" s="241"/>
      <c r="Z80" s="241"/>
      <c r="AA80" s="226"/>
    </row>
    <row r="81" spans="2:27" x14ac:dyDescent="0.2">
      <c r="B81" s="251">
        <v>14</v>
      </c>
      <c r="C81" s="297" t="str">
        <f t="shared" ref="C81:I81" si="60">IF(ISBLANK(C80),"",C80)</f>
        <v/>
      </c>
      <c r="D81" s="298" t="str">
        <f t="shared" si="60"/>
        <v/>
      </c>
      <c r="E81" s="299" t="str">
        <f t="shared" si="60"/>
        <v/>
      </c>
      <c r="F81" s="299" t="str">
        <f t="shared" si="60"/>
        <v/>
      </c>
      <c r="G81" s="299" t="str">
        <f t="shared" si="60"/>
        <v/>
      </c>
      <c r="H81" s="249" t="str">
        <f t="shared" si="60"/>
        <v/>
      </c>
      <c r="I81" s="249" t="str">
        <f t="shared" si="60"/>
        <v/>
      </c>
      <c r="J81" s="246" t="str">
        <f>IF(NOT(ISBLANK(D80)),$J$29,"")</f>
        <v/>
      </c>
      <c r="K81" s="239">
        <f t="shared" si="6"/>
        <v>0</v>
      </c>
      <c r="L81" s="247"/>
      <c r="M81" s="241"/>
      <c r="N81" s="241"/>
      <c r="O81" s="242"/>
      <c r="P81" s="243">
        <f t="shared" si="8"/>
        <v>0</v>
      </c>
      <c r="Q81" s="241"/>
      <c r="R81" s="241"/>
      <c r="S81" s="241"/>
      <c r="T81" s="241"/>
      <c r="U81" s="241"/>
      <c r="V81" s="241"/>
      <c r="W81" s="241"/>
      <c r="X81" s="241"/>
      <c r="Y81" s="241"/>
      <c r="Z81" s="241"/>
      <c r="AA81" s="226"/>
    </row>
    <row r="82" spans="2:27" x14ac:dyDescent="0.2">
      <c r="B82" s="251">
        <v>14</v>
      </c>
      <c r="C82" s="297" t="str">
        <f t="shared" ref="C82:I82" si="61">IF(ISBLANK(C80),"",C80)</f>
        <v/>
      </c>
      <c r="D82" s="300" t="str">
        <f t="shared" si="61"/>
        <v/>
      </c>
      <c r="E82" s="301" t="str">
        <f t="shared" si="61"/>
        <v/>
      </c>
      <c r="F82" s="301" t="str">
        <f t="shared" si="61"/>
        <v/>
      </c>
      <c r="G82" s="301" t="str">
        <f t="shared" si="61"/>
        <v/>
      </c>
      <c r="H82" s="246" t="str">
        <f t="shared" si="61"/>
        <v/>
      </c>
      <c r="I82" s="246" t="str">
        <f t="shared" si="61"/>
        <v/>
      </c>
      <c r="J82" s="246" t="str">
        <f>IF(NOT(ISBLANK(D80)),$J$30,"")</f>
        <v/>
      </c>
      <c r="K82" s="239">
        <f t="shared" si="6"/>
        <v>0</v>
      </c>
      <c r="L82" s="247"/>
      <c r="M82" s="241"/>
      <c r="N82" s="241"/>
      <c r="O82" s="242"/>
      <c r="P82" s="243">
        <f t="shared" si="8"/>
        <v>0</v>
      </c>
      <c r="Q82" s="241"/>
      <c r="R82" s="241"/>
      <c r="S82" s="241"/>
      <c r="T82" s="241"/>
      <c r="U82" s="241"/>
      <c r="V82" s="241"/>
      <c r="W82" s="241"/>
      <c r="X82" s="241"/>
      <c r="Y82" s="241"/>
      <c r="Z82" s="241"/>
      <c r="AA82" s="226"/>
    </row>
    <row r="83" spans="2:27" ht="15.75" x14ac:dyDescent="0.25">
      <c r="B83" s="209">
        <v>14</v>
      </c>
      <c r="C83" s="69" t="str">
        <f t="shared" ref="C83:I83" si="62">IF(ISBLANK(C80),"",C80)</f>
        <v/>
      </c>
      <c r="D83" s="82" t="str">
        <f t="shared" si="62"/>
        <v/>
      </c>
      <c r="E83" s="83" t="str">
        <f t="shared" si="62"/>
        <v/>
      </c>
      <c r="F83" s="83" t="str">
        <f t="shared" si="62"/>
        <v/>
      </c>
      <c r="G83" s="83" t="str">
        <f t="shared" si="62"/>
        <v/>
      </c>
      <c r="H83" s="84" t="str">
        <f t="shared" si="62"/>
        <v/>
      </c>
      <c r="I83" s="84" t="str">
        <f t="shared" si="62"/>
        <v/>
      </c>
      <c r="J83" s="52" t="str">
        <f>IF(NOT(ISBLANK(D80)),$J$31,"")</f>
        <v/>
      </c>
      <c r="K83" s="110">
        <f t="shared" si="6"/>
        <v>0</v>
      </c>
      <c r="L83" s="130">
        <f>SUM(L80:L82)</f>
        <v>0</v>
      </c>
      <c r="M83" s="85">
        <f>SUM(M80:M82)</f>
        <v>0</v>
      </c>
      <c r="N83" s="85">
        <f>SUM(N80:N82)</f>
        <v>0</v>
      </c>
      <c r="O83" s="134">
        <f>SUM(O80:O82)</f>
        <v>0</v>
      </c>
      <c r="P83" s="108">
        <f t="shared" si="8"/>
        <v>0</v>
      </c>
      <c r="Q83" s="85">
        <f t="shared" ref="Q83:Z83" si="63">SUM(Q80:Q82)</f>
        <v>0</v>
      </c>
      <c r="R83" s="85">
        <f t="shared" si="63"/>
        <v>0</v>
      </c>
      <c r="S83" s="85">
        <f t="shared" si="63"/>
        <v>0</v>
      </c>
      <c r="T83" s="85">
        <f t="shared" si="63"/>
        <v>0</v>
      </c>
      <c r="U83" s="85">
        <f t="shared" si="63"/>
        <v>0</v>
      </c>
      <c r="V83" s="85">
        <f t="shared" si="63"/>
        <v>0</v>
      </c>
      <c r="W83" s="85">
        <f t="shared" si="63"/>
        <v>0</v>
      </c>
      <c r="X83" s="85">
        <f t="shared" si="63"/>
        <v>0</v>
      </c>
      <c r="Y83" s="85">
        <f t="shared" si="63"/>
        <v>0</v>
      </c>
      <c r="Z83" s="85">
        <f t="shared" si="63"/>
        <v>0</v>
      </c>
      <c r="AA83" s="226"/>
    </row>
    <row r="84" spans="2:27" x14ac:dyDescent="0.2">
      <c r="B84" s="251">
        <v>15</v>
      </c>
      <c r="C84" s="295" t="str">
        <f>IF(AND(NOT(COUNTA(D84:I84)),(NOT(COUNTA(L84:O84))),(NOT(COUNTA(R84:Z84)))),"",VLOOKUP($D$7,Info_County_Code,2,FALSE))</f>
        <v/>
      </c>
      <c r="D84" s="261"/>
      <c r="E84" s="296"/>
      <c r="F84" s="296"/>
      <c r="G84" s="296"/>
      <c r="H84" s="241"/>
      <c r="I84" s="241"/>
      <c r="J84" s="245" t="str">
        <f>IF(NOT(ISBLANK(D84)),$J$28,"")</f>
        <v/>
      </c>
      <c r="K84" s="239">
        <f t="shared" si="6"/>
        <v>0</v>
      </c>
      <c r="L84" s="247"/>
      <c r="M84" s="241"/>
      <c r="N84" s="241"/>
      <c r="O84" s="242"/>
      <c r="P84" s="243">
        <f t="shared" si="8"/>
        <v>0</v>
      </c>
      <c r="Q84" s="241"/>
      <c r="R84" s="241"/>
      <c r="S84" s="241"/>
      <c r="T84" s="241"/>
      <c r="U84" s="241"/>
      <c r="V84" s="241"/>
      <c r="W84" s="241"/>
      <c r="X84" s="241"/>
      <c r="Y84" s="241"/>
      <c r="Z84" s="241"/>
      <c r="AA84" s="226"/>
    </row>
    <row r="85" spans="2:27" x14ac:dyDescent="0.2">
      <c r="B85" s="251">
        <v>15</v>
      </c>
      <c r="C85" s="297" t="str">
        <f t="shared" ref="C85:I85" si="64">IF(ISBLANK(C84),"",C84)</f>
        <v/>
      </c>
      <c r="D85" s="298" t="str">
        <f t="shared" si="64"/>
        <v/>
      </c>
      <c r="E85" s="299" t="str">
        <f t="shared" si="64"/>
        <v/>
      </c>
      <c r="F85" s="299" t="str">
        <f t="shared" si="64"/>
        <v/>
      </c>
      <c r="G85" s="299" t="str">
        <f t="shared" si="64"/>
        <v/>
      </c>
      <c r="H85" s="249" t="str">
        <f t="shared" si="64"/>
        <v/>
      </c>
      <c r="I85" s="249" t="str">
        <f t="shared" si="64"/>
        <v/>
      </c>
      <c r="J85" s="246" t="str">
        <f>IF(NOT(ISBLANK(D84)),$J$29,"")</f>
        <v/>
      </c>
      <c r="K85" s="239">
        <f t="shared" si="6"/>
        <v>0</v>
      </c>
      <c r="L85" s="247"/>
      <c r="M85" s="241"/>
      <c r="N85" s="241"/>
      <c r="O85" s="242"/>
      <c r="P85" s="243">
        <f t="shared" si="8"/>
        <v>0</v>
      </c>
      <c r="Q85" s="241"/>
      <c r="R85" s="241"/>
      <c r="S85" s="241"/>
      <c r="T85" s="241"/>
      <c r="U85" s="241"/>
      <c r="V85" s="241"/>
      <c r="W85" s="241"/>
      <c r="X85" s="241"/>
      <c r="Y85" s="241"/>
      <c r="Z85" s="241"/>
      <c r="AA85" s="226"/>
    </row>
    <row r="86" spans="2:27" x14ac:dyDescent="0.2">
      <c r="B86" s="251">
        <v>15</v>
      </c>
      <c r="C86" s="297" t="str">
        <f t="shared" ref="C86:I86" si="65">IF(ISBLANK(C84),"",C84)</f>
        <v/>
      </c>
      <c r="D86" s="300" t="str">
        <f t="shared" si="65"/>
        <v/>
      </c>
      <c r="E86" s="301" t="str">
        <f t="shared" si="65"/>
        <v/>
      </c>
      <c r="F86" s="301" t="str">
        <f t="shared" si="65"/>
        <v/>
      </c>
      <c r="G86" s="301" t="str">
        <f t="shared" si="65"/>
        <v/>
      </c>
      <c r="H86" s="246" t="str">
        <f t="shared" si="65"/>
        <v/>
      </c>
      <c r="I86" s="246" t="str">
        <f t="shared" si="65"/>
        <v/>
      </c>
      <c r="J86" s="246" t="str">
        <f>IF(NOT(ISBLANK(D84)),$J$30,"")</f>
        <v/>
      </c>
      <c r="K86" s="239">
        <f t="shared" si="6"/>
        <v>0</v>
      </c>
      <c r="L86" s="247"/>
      <c r="M86" s="241"/>
      <c r="N86" s="241"/>
      <c r="O86" s="242"/>
      <c r="P86" s="243">
        <f t="shared" si="8"/>
        <v>0</v>
      </c>
      <c r="Q86" s="241"/>
      <c r="R86" s="241"/>
      <c r="S86" s="241"/>
      <c r="T86" s="241"/>
      <c r="U86" s="241"/>
      <c r="V86" s="241"/>
      <c r="W86" s="241"/>
      <c r="X86" s="241"/>
      <c r="Y86" s="241"/>
      <c r="Z86" s="241"/>
      <c r="AA86" s="226"/>
    </row>
    <row r="87" spans="2:27" ht="15.75" x14ac:dyDescent="0.25">
      <c r="B87" s="209">
        <v>15</v>
      </c>
      <c r="C87" s="69" t="str">
        <f t="shared" ref="C87:I87" si="66">IF(ISBLANK(C84),"",C84)</f>
        <v/>
      </c>
      <c r="D87" s="70" t="str">
        <f t="shared" si="66"/>
        <v/>
      </c>
      <c r="E87" s="71" t="str">
        <f t="shared" si="66"/>
        <v/>
      </c>
      <c r="F87" s="71" t="str">
        <f t="shared" si="66"/>
        <v/>
      </c>
      <c r="G87" s="71" t="str">
        <f t="shared" si="66"/>
        <v/>
      </c>
      <c r="H87" s="52" t="str">
        <f t="shared" si="66"/>
        <v/>
      </c>
      <c r="I87" s="52" t="str">
        <f t="shared" si="66"/>
        <v/>
      </c>
      <c r="J87" s="52" t="str">
        <f>IF(NOT(ISBLANK(D84)),$J$31,"")</f>
        <v/>
      </c>
      <c r="K87" s="110">
        <f t="shared" si="6"/>
        <v>0</v>
      </c>
      <c r="L87" s="131">
        <f>SUM(L84:L86)</f>
        <v>0</v>
      </c>
      <c r="M87" s="86">
        <f>SUM(M84:M86)</f>
        <v>0</v>
      </c>
      <c r="N87" s="86">
        <f>SUM(N84:N86)</f>
        <v>0</v>
      </c>
      <c r="O87" s="135">
        <f>SUM(O84:O86)</f>
        <v>0</v>
      </c>
      <c r="P87" s="108">
        <f t="shared" si="8"/>
        <v>0</v>
      </c>
      <c r="Q87" s="86">
        <f t="shared" ref="Q87:Z87" si="67">SUM(Q84:Q86)</f>
        <v>0</v>
      </c>
      <c r="R87" s="86">
        <f t="shared" si="67"/>
        <v>0</v>
      </c>
      <c r="S87" s="86">
        <f t="shared" si="67"/>
        <v>0</v>
      </c>
      <c r="T87" s="86">
        <f t="shared" si="67"/>
        <v>0</v>
      </c>
      <c r="U87" s="86">
        <f t="shared" si="67"/>
        <v>0</v>
      </c>
      <c r="V87" s="86">
        <f t="shared" si="67"/>
        <v>0</v>
      </c>
      <c r="W87" s="86">
        <f t="shared" si="67"/>
        <v>0</v>
      </c>
      <c r="X87" s="86">
        <f t="shared" si="67"/>
        <v>0</v>
      </c>
      <c r="Y87" s="86">
        <f t="shared" si="67"/>
        <v>0</v>
      </c>
      <c r="Z87" s="86">
        <f t="shared" si="67"/>
        <v>0</v>
      </c>
      <c r="AA87" s="226"/>
    </row>
  </sheetData>
  <sheetProtection sheet="1" objects="1" scenarios="1" formatColumns="0" formatRows="0" selectLockedCells="1"/>
  <mergeCells count="16">
    <mergeCell ref="B1:D1"/>
    <mergeCell ref="C15:E15"/>
    <mergeCell ref="C17:E17"/>
    <mergeCell ref="C18:E18"/>
    <mergeCell ref="C19:E19"/>
    <mergeCell ref="C16:E16"/>
    <mergeCell ref="B7:C7"/>
    <mergeCell ref="C14:E14"/>
    <mergeCell ref="C13:E13"/>
    <mergeCell ref="C20:E20"/>
    <mergeCell ref="C21:E21"/>
    <mergeCell ref="P26:Z26"/>
    <mergeCell ref="C26:J26"/>
    <mergeCell ref="K12:U12"/>
    <mergeCell ref="G12:J12"/>
    <mergeCell ref="L26:O26"/>
  </mergeCells>
  <hyperlinks>
    <hyperlink ref="B1" location="'2. Summary'!A1" display="Back to Summary" xr:uid="{00000000-0004-0000-0600-000000000000}"/>
    <hyperlink ref="B1:D1" location="'2. Component Summary'!A1" display="Back to Summary" xr:uid="{00000000-0004-0000-0600-000001000000}"/>
  </hyperlinks>
  <pageMargins left="0.25" right="0.25" top="0.75" bottom="0.75" header="0.3" footer="0.3"/>
  <pageSetup paperSize="17" scale="47" orientation="landscape" r:id="rId1"/>
  <headerFooter>
    <oddHeader xml:space="preserve">&amp;C&amp;"Arial,Regular"&amp;16Annual Mental Health Services Act Revenue and Expenditure Report for                      
Fiscal Year 2016-17                      
 Innovation (INN) Summary                      
</oddHeader>
    <oddFooter>&amp;C&amp;"Arial,Regular"&amp;16Page &amp;P of &amp;N</oddFooter>
  </headerFooter>
  <colBreaks count="1" manualBreakCount="1">
    <brk id="27"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autoPageBreaks="0" fitToPage="1"/>
  </sheetPr>
  <dimension ref="A1:Y33"/>
  <sheetViews>
    <sheetView showGridLines="0" zoomScale="80" zoomScaleNormal="80" zoomScaleSheetLayoutView="55" workbookViewId="0">
      <selection activeCell="I33" sqref="I33"/>
    </sheetView>
  </sheetViews>
  <sheetFormatPr defaultColWidth="0" defaultRowHeight="15" zeroHeight="1" x14ac:dyDescent="0.2"/>
  <cols>
    <col min="1" max="1" width="2.7109375" style="216" customWidth="1"/>
    <col min="2" max="2" width="6.7109375" style="216" customWidth="1"/>
    <col min="3" max="3" width="11.85546875" style="216" customWidth="1"/>
    <col min="4" max="4" width="26" style="216" customWidth="1"/>
    <col min="5" max="5" width="29.7109375" style="216" customWidth="1"/>
    <col min="6" max="6" width="31.7109375" style="216" bestFit="1" customWidth="1"/>
    <col min="7" max="7" width="22" style="216" customWidth="1"/>
    <col min="8" max="8" width="20.140625" style="216" customWidth="1"/>
    <col min="9" max="9" width="19.140625" style="216" customWidth="1"/>
    <col min="10" max="13" width="17.7109375" style="216" customWidth="1"/>
    <col min="14" max="14" width="21.42578125" style="216" customWidth="1"/>
    <col min="15" max="17" width="22.42578125" style="216" bestFit="1" customWidth="1"/>
    <col min="18" max="18" width="21" style="216" customWidth="1"/>
    <col min="19" max="19" width="21.28515625" style="216" customWidth="1"/>
    <col min="20" max="20" width="21.140625" style="216" customWidth="1"/>
    <col min="21" max="23" width="22.42578125" style="216" bestFit="1" customWidth="1"/>
    <col min="24" max="24" width="22.42578125" style="216" customWidth="1"/>
    <col min="25" max="25" width="19" style="216" hidden="1" customWidth="1"/>
    <col min="26" max="16384" width="9.140625" style="216" hidden="1"/>
  </cols>
  <sheetData>
    <row r="1" spans="1:25" x14ac:dyDescent="0.2">
      <c r="A1" s="226"/>
      <c r="B1" s="163" t="s">
        <v>229</v>
      </c>
      <c r="C1" s="163"/>
      <c r="D1" s="163"/>
      <c r="E1" s="226"/>
      <c r="F1" s="226"/>
      <c r="G1" s="226"/>
      <c r="H1" s="226"/>
      <c r="I1" s="226"/>
      <c r="J1" s="226"/>
      <c r="K1" s="226"/>
      <c r="L1" s="226"/>
      <c r="M1" s="226"/>
      <c r="N1" s="226"/>
      <c r="O1" s="226"/>
      <c r="P1" s="226"/>
      <c r="Q1" s="226"/>
      <c r="R1" s="226"/>
      <c r="S1" s="226"/>
      <c r="T1" s="226"/>
      <c r="U1" s="226"/>
      <c r="V1" s="226"/>
      <c r="W1" s="226"/>
      <c r="X1" s="226"/>
      <c r="Y1" s="226"/>
    </row>
    <row r="2" spans="1:25" x14ac:dyDescent="0.2">
      <c r="A2" s="226"/>
      <c r="B2" s="226"/>
      <c r="C2" s="208"/>
      <c r="D2" s="208"/>
      <c r="E2" s="208"/>
      <c r="F2" s="226"/>
      <c r="G2" s="226"/>
      <c r="H2" s="226"/>
      <c r="I2" s="226"/>
      <c r="J2" s="226"/>
      <c r="K2" s="226"/>
      <c r="L2" s="226"/>
      <c r="M2" s="226"/>
      <c r="N2" s="226"/>
      <c r="O2" s="226"/>
      <c r="P2" s="226"/>
      <c r="Q2" s="226"/>
      <c r="R2" s="226"/>
      <c r="S2" s="226"/>
      <c r="T2" s="226"/>
      <c r="U2" s="226"/>
      <c r="V2" s="226"/>
      <c r="W2" s="226"/>
      <c r="X2" s="226"/>
      <c r="Y2" s="226"/>
    </row>
    <row r="3" spans="1:25" ht="18" x14ac:dyDescent="0.2">
      <c r="A3" s="226"/>
      <c r="B3" s="340" t="s">
        <v>269</v>
      </c>
      <c r="C3" s="226"/>
      <c r="D3" s="1"/>
      <c r="E3" s="1"/>
      <c r="F3" s="1"/>
      <c r="G3" s="1"/>
      <c r="H3" s="1"/>
      <c r="I3" s="1"/>
      <c r="J3" s="226"/>
      <c r="K3" s="226"/>
      <c r="L3" s="226"/>
      <c r="M3" s="226"/>
      <c r="N3" s="226"/>
      <c r="O3" s="226"/>
      <c r="P3" s="226"/>
      <c r="Q3" s="226"/>
      <c r="R3" s="226"/>
      <c r="S3" s="226"/>
      <c r="T3" s="226"/>
      <c r="U3" s="226"/>
      <c r="V3" s="226"/>
      <c r="W3" s="226"/>
      <c r="X3" s="226"/>
      <c r="Y3" s="226"/>
    </row>
    <row r="4" spans="1:25" ht="18" x14ac:dyDescent="0.2">
      <c r="A4" s="226"/>
      <c r="B4" s="340" t="s">
        <v>0</v>
      </c>
      <c r="C4" s="226"/>
      <c r="D4" s="1"/>
      <c r="E4" s="1"/>
      <c r="F4" s="1"/>
      <c r="G4" s="1"/>
      <c r="H4" s="1"/>
      <c r="I4" s="1"/>
      <c r="J4" s="226"/>
      <c r="K4" s="226"/>
      <c r="L4" s="226"/>
      <c r="M4" s="226"/>
      <c r="N4" s="226"/>
      <c r="O4" s="226"/>
      <c r="P4" s="226"/>
      <c r="Q4" s="226"/>
      <c r="R4" s="226"/>
      <c r="S4" s="226"/>
      <c r="T4" s="226"/>
      <c r="U4" s="226"/>
      <c r="V4" s="226"/>
      <c r="W4" s="226"/>
      <c r="X4" s="226"/>
      <c r="Y4" s="226"/>
    </row>
    <row r="5" spans="1:25" ht="18" x14ac:dyDescent="0.2">
      <c r="A5" s="226"/>
      <c r="B5" s="137" t="s">
        <v>117</v>
      </c>
      <c r="C5" s="226"/>
      <c r="D5" s="104"/>
      <c r="E5" s="104"/>
      <c r="F5" s="104"/>
      <c r="G5" s="104"/>
      <c r="H5" s="104"/>
      <c r="I5" s="104"/>
      <c r="J5" s="226"/>
      <c r="K5" s="226"/>
      <c r="L5" s="226"/>
      <c r="M5" s="226"/>
      <c r="N5" s="226"/>
      <c r="O5" s="226"/>
      <c r="P5" s="226"/>
      <c r="Q5" s="226"/>
      <c r="R5" s="226"/>
      <c r="S5" s="226"/>
      <c r="T5" s="226"/>
      <c r="U5" s="226"/>
      <c r="V5" s="226"/>
      <c r="W5" s="226"/>
      <c r="X5" s="226"/>
      <c r="Y5" s="226"/>
    </row>
    <row r="6" spans="1:25" ht="15.75" x14ac:dyDescent="0.2">
      <c r="A6" s="226"/>
      <c r="B6" s="226"/>
      <c r="C6" s="226"/>
      <c r="D6" s="206"/>
      <c r="E6" s="206"/>
      <c r="F6" s="206"/>
      <c r="G6" s="206"/>
      <c r="H6" s="206"/>
      <c r="I6" s="226"/>
      <c r="J6" s="226"/>
      <c r="K6" s="226"/>
      <c r="L6" s="226"/>
      <c r="M6" s="226"/>
      <c r="N6" s="226"/>
      <c r="O6" s="226"/>
      <c r="P6" s="226"/>
      <c r="Q6" s="226"/>
      <c r="R6" s="226"/>
      <c r="S6" s="226"/>
      <c r="T6" s="226"/>
      <c r="U6" s="226"/>
      <c r="V6" s="226"/>
      <c r="W6" s="226"/>
      <c r="X6" s="226"/>
      <c r="Y6" s="226"/>
    </row>
    <row r="7" spans="1:25" ht="15.75" x14ac:dyDescent="0.25">
      <c r="A7" s="226"/>
      <c r="B7" s="226"/>
      <c r="C7" s="211" t="s">
        <v>2</v>
      </c>
      <c r="D7" s="54" t="str">
        <f>IF(ISBLANK('1. Information'!D6),"",'1. Information'!D6)</f>
        <v>Shasta</v>
      </c>
      <c r="F7" s="204" t="s">
        <v>3</v>
      </c>
      <c r="G7" s="88">
        <f ca="1">IF(ISBLANK('1. Information'!D5),"",'1. Information'!D5)</f>
        <v>44144.476150462964</v>
      </c>
      <c r="I7" s="226"/>
      <c r="J7" s="226"/>
      <c r="K7" s="226"/>
      <c r="L7" s="226"/>
      <c r="M7" s="226"/>
      <c r="N7" s="226"/>
      <c r="O7" s="226"/>
      <c r="P7" s="226"/>
      <c r="Q7" s="226"/>
      <c r="R7" s="226"/>
      <c r="S7" s="226"/>
      <c r="T7" s="226"/>
      <c r="U7" s="226"/>
      <c r="V7" s="226"/>
      <c r="W7" s="226"/>
      <c r="X7" s="226"/>
      <c r="Y7" s="226"/>
    </row>
    <row r="8" spans="1:25" ht="15.75" x14ac:dyDescent="0.25">
      <c r="A8" s="226"/>
      <c r="B8" s="226"/>
      <c r="C8" s="7"/>
      <c r="D8" s="7"/>
      <c r="E8" s="62"/>
      <c r="F8" s="7"/>
      <c r="G8" s="182"/>
      <c r="H8" s="228"/>
      <c r="I8" s="226"/>
      <c r="J8" s="226"/>
      <c r="K8" s="226"/>
      <c r="L8" s="226"/>
      <c r="M8" s="226"/>
      <c r="N8" s="226"/>
      <c r="O8" s="226"/>
      <c r="P8" s="226"/>
      <c r="Q8" s="226"/>
      <c r="R8" s="226"/>
      <c r="S8" s="226"/>
      <c r="T8" s="226"/>
      <c r="U8" s="226"/>
      <c r="V8" s="226"/>
      <c r="W8" s="226"/>
      <c r="X8" s="226"/>
      <c r="Y8" s="226"/>
    </row>
    <row r="9" spans="1:25" ht="18.75" thickBot="1" x14ac:dyDescent="0.3">
      <c r="A9" s="226"/>
      <c r="B9" s="341" t="s">
        <v>280</v>
      </c>
      <c r="C9" s="140"/>
      <c r="D9" s="140"/>
      <c r="E9" s="167"/>
      <c r="F9" s="140"/>
      <c r="G9" s="183"/>
      <c r="H9" s="232"/>
      <c r="I9" s="230"/>
      <c r="J9" s="230"/>
      <c r="K9" s="230"/>
      <c r="L9" s="230"/>
      <c r="M9" s="230"/>
      <c r="N9" s="230"/>
      <c r="O9" s="230"/>
      <c r="P9" s="230"/>
      <c r="Q9" s="230"/>
      <c r="R9" s="230"/>
      <c r="S9" s="230"/>
      <c r="T9" s="230"/>
      <c r="U9" s="230"/>
      <c r="V9" s="230"/>
      <c r="W9" s="230"/>
      <c r="X9" s="226"/>
      <c r="Y9" s="226"/>
    </row>
    <row r="10" spans="1:25" ht="16.5" thickTop="1" x14ac:dyDescent="0.25">
      <c r="A10" s="226"/>
      <c r="B10" s="7"/>
      <c r="C10" s="7"/>
      <c r="D10" s="7"/>
      <c r="E10" s="62"/>
      <c r="F10" s="7"/>
      <c r="G10" s="182"/>
      <c r="H10" s="228"/>
      <c r="I10" s="226"/>
      <c r="J10" s="226"/>
      <c r="K10" s="226"/>
      <c r="L10" s="226"/>
      <c r="M10" s="226"/>
      <c r="N10" s="226"/>
      <c r="O10" s="226"/>
      <c r="P10" s="226"/>
      <c r="Q10" s="226"/>
      <c r="R10" s="226"/>
      <c r="S10" s="226"/>
      <c r="T10" s="226"/>
      <c r="U10" s="226"/>
      <c r="V10" s="226"/>
      <c r="W10" s="226"/>
      <c r="X10" s="226"/>
      <c r="Y10" s="226"/>
    </row>
    <row r="11" spans="1:25" ht="15.75" x14ac:dyDescent="0.25">
      <c r="A11" s="226"/>
      <c r="B11" s="226"/>
      <c r="C11" s="7"/>
      <c r="D11" s="7"/>
      <c r="E11" s="62"/>
      <c r="F11" s="184" t="s">
        <v>59</v>
      </c>
      <c r="G11" s="185" t="s">
        <v>61</v>
      </c>
      <c r="H11" s="251" t="s">
        <v>65</v>
      </c>
      <c r="I11" s="218" t="s">
        <v>245</v>
      </c>
      <c r="J11" s="233" t="s">
        <v>246</v>
      </c>
      <c r="K11" s="257" t="s">
        <v>247</v>
      </c>
      <c r="L11" s="218" t="s">
        <v>256</v>
      </c>
      <c r="M11" s="218" t="s">
        <v>248</v>
      </c>
      <c r="N11" s="218" t="s">
        <v>249</v>
      </c>
      <c r="O11" s="218" t="s">
        <v>250</v>
      </c>
      <c r="P11" s="218" t="s">
        <v>251</v>
      </c>
      <c r="Q11" s="218" t="s">
        <v>252</v>
      </c>
      <c r="R11" s="218" t="s">
        <v>253</v>
      </c>
      <c r="S11" s="218" t="s">
        <v>254</v>
      </c>
      <c r="T11" s="218" t="s">
        <v>255</v>
      </c>
      <c r="U11" s="218" t="s">
        <v>257</v>
      </c>
      <c r="V11" s="218" t="s">
        <v>259</v>
      </c>
      <c r="W11" s="218" t="s">
        <v>260</v>
      </c>
      <c r="X11" s="226"/>
      <c r="Y11" s="226"/>
    </row>
    <row r="12" spans="1:25" ht="15.75" x14ac:dyDescent="0.25">
      <c r="A12" s="226"/>
      <c r="B12" s="226"/>
      <c r="C12" s="226"/>
      <c r="D12" s="7"/>
      <c r="E12" s="62"/>
      <c r="F12" s="186"/>
      <c r="G12" s="448" t="s">
        <v>202</v>
      </c>
      <c r="H12" s="449"/>
      <c r="I12" s="449"/>
      <c r="J12" s="450"/>
      <c r="K12" s="411" t="s">
        <v>203</v>
      </c>
      <c r="L12" s="412"/>
      <c r="M12" s="412"/>
      <c r="N12" s="412"/>
      <c r="O12" s="412"/>
      <c r="P12" s="412"/>
      <c r="Q12" s="412"/>
      <c r="R12" s="412"/>
      <c r="S12" s="412"/>
      <c r="T12" s="412"/>
      <c r="U12" s="412"/>
      <c r="V12" s="412"/>
      <c r="W12" s="412"/>
      <c r="X12" s="226"/>
      <c r="Y12" s="226"/>
    </row>
    <row r="13" spans="1:25" ht="63" x14ac:dyDescent="0.25">
      <c r="A13" s="226"/>
      <c r="B13" s="226"/>
      <c r="C13" s="14"/>
      <c r="D13" s="14"/>
      <c r="E13" s="14"/>
      <c r="F13" s="126" t="s">
        <v>192</v>
      </c>
      <c r="G13" s="112" t="s">
        <v>7</v>
      </c>
      <c r="H13" s="75" t="s">
        <v>8</v>
      </c>
      <c r="I13" s="75" t="s">
        <v>63</v>
      </c>
      <c r="J13" s="118" t="s">
        <v>10</v>
      </c>
      <c r="K13" s="127" t="s">
        <v>285</v>
      </c>
      <c r="L13" s="75" t="s">
        <v>190</v>
      </c>
      <c r="M13" s="79" t="s">
        <v>175</v>
      </c>
      <c r="N13" s="79" t="s">
        <v>176</v>
      </c>
      <c r="O13" s="80" t="s">
        <v>177</v>
      </c>
      <c r="P13" s="80" t="s">
        <v>178</v>
      </c>
      <c r="Q13" s="80" t="s">
        <v>179</v>
      </c>
      <c r="R13" s="79" t="s">
        <v>180</v>
      </c>
      <c r="S13" s="79" t="s">
        <v>181</v>
      </c>
      <c r="T13" s="79" t="s">
        <v>182</v>
      </c>
      <c r="U13" s="79" t="s">
        <v>183</v>
      </c>
      <c r="V13" s="79" t="s">
        <v>184</v>
      </c>
      <c r="W13" s="79" t="s">
        <v>185</v>
      </c>
      <c r="X13" s="226"/>
      <c r="Y13" s="226"/>
    </row>
    <row r="14" spans="1:25" ht="15.75" x14ac:dyDescent="0.25">
      <c r="A14" s="226"/>
      <c r="B14" s="218">
        <v>1</v>
      </c>
      <c r="C14" s="404" t="s">
        <v>34</v>
      </c>
      <c r="D14" s="404"/>
      <c r="E14" s="404"/>
      <c r="F14" s="239">
        <f t="shared" ref="F14:F19" si="0">SUM(G14:J14,K14)</f>
        <v>0</v>
      </c>
      <c r="G14" s="302"/>
      <c r="H14" s="303"/>
      <c r="I14" s="303"/>
      <c r="J14" s="304"/>
      <c r="K14" s="243">
        <f t="shared" ref="K14:K19" si="1">SUM(L14,M14:W14)</f>
        <v>0</v>
      </c>
      <c r="L14" s="303"/>
      <c r="M14" s="241"/>
      <c r="N14" s="241"/>
      <c r="O14" s="241"/>
      <c r="P14" s="241"/>
      <c r="Q14" s="241"/>
      <c r="R14" s="241"/>
      <c r="S14" s="241"/>
      <c r="T14" s="241"/>
      <c r="U14" s="241"/>
      <c r="V14" s="241"/>
      <c r="W14" s="241"/>
      <c r="X14" s="226"/>
      <c r="Y14" s="226"/>
    </row>
    <row r="15" spans="1:25" ht="15.75" x14ac:dyDescent="0.25">
      <c r="A15" s="226"/>
      <c r="B15" s="218">
        <v>2</v>
      </c>
      <c r="C15" s="404" t="s">
        <v>35</v>
      </c>
      <c r="D15" s="404"/>
      <c r="E15" s="404"/>
      <c r="F15" s="239">
        <f t="shared" si="0"/>
        <v>0</v>
      </c>
      <c r="G15" s="302"/>
      <c r="H15" s="303"/>
      <c r="I15" s="303"/>
      <c r="J15" s="304"/>
      <c r="K15" s="243">
        <f t="shared" si="1"/>
        <v>0</v>
      </c>
      <c r="L15" s="303"/>
      <c r="M15" s="241"/>
      <c r="N15" s="241"/>
      <c r="O15" s="241"/>
      <c r="P15" s="241"/>
      <c r="Q15" s="241"/>
      <c r="R15" s="241"/>
      <c r="S15" s="241"/>
      <c r="T15" s="241"/>
      <c r="U15" s="241"/>
      <c r="V15" s="241"/>
      <c r="W15" s="241"/>
      <c r="X15" s="226"/>
      <c r="Y15" s="226"/>
    </row>
    <row r="16" spans="1:25" ht="15.75" x14ac:dyDescent="0.25">
      <c r="A16" s="226"/>
      <c r="B16" s="218">
        <v>3</v>
      </c>
      <c r="C16" s="404" t="s">
        <v>235</v>
      </c>
      <c r="D16" s="404"/>
      <c r="E16" s="404"/>
      <c r="F16" s="239">
        <f t="shared" si="0"/>
        <v>0</v>
      </c>
      <c r="G16" s="302"/>
      <c r="H16" s="303"/>
      <c r="I16" s="303"/>
      <c r="J16" s="304"/>
      <c r="K16" s="243">
        <f t="shared" si="1"/>
        <v>0</v>
      </c>
      <c r="L16" s="303"/>
      <c r="M16" s="241"/>
      <c r="N16" s="241"/>
      <c r="O16" s="241"/>
      <c r="P16" s="241"/>
      <c r="Q16" s="241"/>
      <c r="R16" s="241"/>
      <c r="S16" s="241"/>
      <c r="T16" s="241"/>
      <c r="U16" s="241"/>
      <c r="V16" s="241"/>
      <c r="W16" s="241"/>
      <c r="X16" s="226"/>
      <c r="Y16" s="226"/>
    </row>
    <row r="17" spans="1:25" ht="15.75" x14ac:dyDescent="0.25">
      <c r="A17" s="226"/>
      <c r="B17" s="218">
        <v>4</v>
      </c>
      <c r="C17" s="404" t="s">
        <v>212</v>
      </c>
      <c r="D17" s="404"/>
      <c r="E17" s="404"/>
      <c r="F17" s="239">
        <f t="shared" si="0"/>
        <v>0</v>
      </c>
      <c r="G17" s="302"/>
      <c r="H17" s="303"/>
      <c r="I17" s="303"/>
      <c r="J17" s="304"/>
      <c r="K17" s="243">
        <f t="shared" si="1"/>
        <v>0</v>
      </c>
      <c r="L17" s="241"/>
      <c r="M17" s="241"/>
      <c r="N17" s="241"/>
      <c r="O17" s="241"/>
      <c r="P17" s="241"/>
      <c r="Q17" s="241"/>
      <c r="R17" s="241"/>
      <c r="S17" s="241"/>
      <c r="T17" s="241"/>
      <c r="U17" s="241"/>
      <c r="V17" s="241"/>
      <c r="W17" s="241"/>
      <c r="X17" s="226"/>
      <c r="Y17" s="226"/>
    </row>
    <row r="18" spans="1:25" ht="15.75" x14ac:dyDescent="0.25">
      <c r="A18" s="226"/>
      <c r="B18" s="218">
        <v>5</v>
      </c>
      <c r="C18" s="404" t="s">
        <v>213</v>
      </c>
      <c r="D18" s="404"/>
      <c r="E18" s="404"/>
      <c r="F18" s="239">
        <f t="shared" si="0"/>
        <v>0</v>
      </c>
      <c r="G18" s="302"/>
      <c r="H18" s="303"/>
      <c r="I18" s="303"/>
      <c r="J18" s="304"/>
      <c r="K18" s="243">
        <f t="shared" si="1"/>
        <v>0</v>
      </c>
      <c r="L18" s="241"/>
      <c r="M18" s="241"/>
      <c r="N18" s="241"/>
      <c r="O18" s="241"/>
      <c r="P18" s="241"/>
      <c r="Q18" s="241"/>
      <c r="R18" s="241"/>
      <c r="S18" s="241"/>
      <c r="T18" s="241"/>
      <c r="U18" s="241"/>
      <c r="V18" s="241"/>
      <c r="W18" s="241"/>
      <c r="X18" s="226"/>
      <c r="Y18" s="226"/>
    </row>
    <row r="19" spans="1:25" ht="15.75" x14ac:dyDescent="0.25">
      <c r="A19" s="226"/>
      <c r="B19" s="218">
        <v>6</v>
      </c>
      <c r="C19" s="413" t="s">
        <v>151</v>
      </c>
      <c r="D19" s="414"/>
      <c r="E19" s="415"/>
      <c r="F19" s="239">
        <f t="shared" si="0"/>
        <v>42010</v>
      </c>
      <c r="G19" s="248">
        <f>SUM(H29:H33)</f>
        <v>0</v>
      </c>
      <c r="H19" s="249">
        <f>SUM(I29:I33)</f>
        <v>0</v>
      </c>
      <c r="I19" s="249">
        <f>SUM(J29:J33)</f>
        <v>0</v>
      </c>
      <c r="J19" s="250">
        <f>SUM(K29:K33)</f>
        <v>0</v>
      </c>
      <c r="K19" s="245">
        <f t="shared" si="1"/>
        <v>42010</v>
      </c>
      <c r="L19" s="249">
        <f t="shared" ref="L19:U19" si="2">SUM(M29:M33)</f>
        <v>176</v>
      </c>
      <c r="M19" s="249">
        <f t="shared" si="2"/>
        <v>19978</v>
      </c>
      <c r="N19" s="249">
        <f t="shared" si="2"/>
        <v>0</v>
      </c>
      <c r="O19" s="249">
        <f t="shared" si="2"/>
        <v>0</v>
      </c>
      <c r="P19" s="249">
        <f t="shared" si="2"/>
        <v>0</v>
      </c>
      <c r="Q19" s="249">
        <f t="shared" si="2"/>
        <v>0</v>
      </c>
      <c r="R19" s="249">
        <f t="shared" si="2"/>
        <v>0</v>
      </c>
      <c r="S19" s="249">
        <f t="shared" si="2"/>
        <v>0</v>
      </c>
      <c r="T19" s="249">
        <f t="shared" si="2"/>
        <v>0</v>
      </c>
      <c r="U19" s="249">
        <f t="shared" si="2"/>
        <v>0</v>
      </c>
      <c r="V19" s="249">
        <f>SUM(W29:W33)</f>
        <v>21856</v>
      </c>
      <c r="W19" s="249">
        <f>SUM(X29:X33)</f>
        <v>0</v>
      </c>
      <c r="X19" s="226"/>
      <c r="Y19" s="226"/>
    </row>
    <row r="20" spans="1:25" ht="30.95" customHeight="1" x14ac:dyDescent="0.25">
      <c r="A20" s="226"/>
      <c r="B20" s="218">
        <v>7</v>
      </c>
      <c r="C20" s="435" t="s">
        <v>211</v>
      </c>
      <c r="D20" s="435"/>
      <c r="E20" s="435"/>
      <c r="F20" s="109">
        <f>SUM(F14:F16,F18:F19)</f>
        <v>42010</v>
      </c>
      <c r="G20" s="107">
        <f>SUM(G14:G16,G18:G19)</f>
        <v>0</v>
      </c>
      <c r="H20" s="51">
        <f t="shared" ref="H20:W20" si="3">SUM(H14:H16,H18:H19)</f>
        <v>0</v>
      </c>
      <c r="I20" s="51">
        <f t="shared" si="3"/>
        <v>0</v>
      </c>
      <c r="J20" s="109">
        <f t="shared" si="3"/>
        <v>0</v>
      </c>
      <c r="K20" s="107">
        <f t="shared" si="3"/>
        <v>42010</v>
      </c>
      <c r="L20" s="51">
        <f t="shared" si="3"/>
        <v>176</v>
      </c>
      <c r="M20" s="51">
        <f t="shared" si="3"/>
        <v>19978</v>
      </c>
      <c r="N20" s="51">
        <f t="shared" si="3"/>
        <v>0</v>
      </c>
      <c r="O20" s="51">
        <f t="shared" si="3"/>
        <v>0</v>
      </c>
      <c r="P20" s="51">
        <f t="shared" si="3"/>
        <v>0</v>
      </c>
      <c r="Q20" s="51">
        <f t="shared" si="3"/>
        <v>0</v>
      </c>
      <c r="R20" s="51">
        <f t="shared" si="3"/>
        <v>0</v>
      </c>
      <c r="S20" s="51">
        <f t="shared" si="3"/>
        <v>0</v>
      </c>
      <c r="T20" s="51">
        <f t="shared" si="3"/>
        <v>0</v>
      </c>
      <c r="U20" s="51">
        <f t="shared" si="3"/>
        <v>0</v>
      </c>
      <c r="V20" s="51">
        <f t="shared" si="3"/>
        <v>21856</v>
      </c>
      <c r="W20" s="51">
        <f t="shared" si="3"/>
        <v>0</v>
      </c>
      <c r="X20" s="226"/>
      <c r="Y20" s="226"/>
    </row>
    <row r="21" spans="1:25" ht="30.95" customHeight="1" x14ac:dyDescent="0.25">
      <c r="A21" s="226"/>
      <c r="B21" s="218">
        <v>8</v>
      </c>
      <c r="C21" s="435" t="s">
        <v>207</v>
      </c>
      <c r="D21" s="435"/>
      <c r="E21" s="435"/>
      <c r="F21" s="109"/>
      <c r="G21" s="107"/>
      <c r="H21" s="51"/>
      <c r="I21" s="51"/>
      <c r="J21" s="109"/>
      <c r="K21" s="107">
        <f>SUM(L21,M21:W21)</f>
        <v>22726</v>
      </c>
      <c r="L21" s="51">
        <f>'2. Component Summary'!G27+'2. Component Summary'!G32</f>
        <v>870</v>
      </c>
      <c r="M21" s="51">
        <f>'2. Component Summary'!G30+'2. Component Summary'!G31</f>
        <v>0</v>
      </c>
      <c r="N21" s="51">
        <f>'2. Component Summary'!G26</f>
        <v>0</v>
      </c>
      <c r="O21" s="51">
        <f>'2. Component Summary'!G25</f>
        <v>0</v>
      </c>
      <c r="P21" s="51">
        <f>'2. Component Summary'!G24</f>
        <v>0</v>
      </c>
      <c r="Q21" s="51">
        <f>'2. Component Summary'!G23</f>
        <v>0</v>
      </c>
      <c r="R21" s="51">
        <f>'2. Component Summary'!G22</f>
        <v>0</v>
      </c>
      <c r="S21" s="51">
        <f>'2. Component Summary'!G21</f>
        <v>0</v>
      </c>
      <c r="T21" s="51">
        <f>'2. Component Summary'!G20</f>
        <v>0</v>
      </c>
      <c r="U21" s="51">
        <f>'2. Component Summary'!G19</f>
        <v>0</v>
      </c>
      <c r="V21" s="51">
        <f>'2. Component Summary'!G18</f>
        <v>21856</v>
      </c>
      <c r="W21" s="51">
        <f>'2. Component Summary'!G17</f>
        <v>0</v>
      </c>
      <c r="X21" s="226"/>
      <c r="Y21" s="226"/>
    </row>
    <row r="22" spans="1:25" x14ac:dyDescent="0.2">
      <c r="A22" s="226"/>
      <c r="B22" s="226"/>
      <c r="C22" s="226"/>
      <c r="D22" s="226"/>
      <c r="E22" s="226"/>
      <c r="F22" s="226"/>
      <c r="G22" s="226"/>
      <c r="H22" s="226"/>
      <c r="I22" s="226"/>
      <c r="J22" s="226"/>
      <c r="K22" s="226"/>
      <c r="L22" s="226"/>
      <c r="M22" s="226"/>
      <c r="N22" s="226"/>
      <c r="O22" s="226"/>
      <c r="P22" s="226"/>
      <c r="Q22" s="226"/>
      <c r="R22" s="226"/>
      <c r="S22" s="226"/>
      <c r="T22" s="226"/>
      <c r="U22" s="226"/>
      <c r="V22" s="226"/>
      <c r="W22" s="226"/>
      <c r="X22" s="226"/>
      <c r="Y22" s="226"/>
    </row>
    <row r="23" spans="1:25" ht="15.75" x14ac:dyDescent="0.25">
      <c r="A23" s="226"/>
      <c r="B23" s="226"/>
      <c r="C23" s="148"/>
      <c r="D23" s="226"/>
      <c r="E23" s="226"/>
      <c r="F23" s="226"/>
      <c r="G23" s="226"/>
      <c r="H23" s="226"/>
      <c r="I23" s="226"/>
      <c r="J23" s="226"/>
      <c r="K23" s="226"/>
      <c r="L23" s="226"/>
      <c r="M23" s="226"/>
      <c r="N23" s="226"/>
      <c r="O23" s="226"/>
      <c r="P23" s="226"/>
      <c r="Q23" s="226"/>
      <c r="R23" s="226"/>
      <c r="S23" s="226"/>
      <c r="T23" s="226"/>
      <c r="U23" s="226"/>
      <c r="V23" s="226"/>
      <c r="W23" s="226"/>
      <c r="X23" s="226"/>
      <c r="Y23" s="226"/>
    </row>
    <row r="24" spans="1:25" ht="18.75" thickBot="1" x14ac:dyDescent="0.3">
      <c r="A24" s="226"/>
      <c r="B24" s="342" t="s">
        <v>281</v>
      </c>
      <c r="C24" s="146"/>
      <c r="D24" s="230"/>
      <c r="E24" s="230"/>
      <c r="F24" s="230"/>
      <c r="G24" s="230"/>
      <c r="H24" s="230"/>
      <c r="I24" s="230"/>
      <c r="J24" s="230"/>
      <c r="K24" s="230"/>
      <c r="L24" s="230"/>
      <c r="M24" s="230"/>
      <c r="N24" s="230"/>
      <c r="O24" s="230"/>
      <c r="P24" s="230"/>
      <c r="Q24" s="230"/>
      <c r="R24" s="230"/>
      <c r="S24" s="230"/>
      <c r="T24" s="230"/>
      <c r="U24" s="230"/>
      <c r="V24" s="230"/>
      <c r="W24" s="230"/>
      <c r="X24" s="230"/>
      <c r="Y24" s="226"/>
    </row>
    <row r="25" spans="1:25" ht="16.5" thickTop="1" x14ac:dyDescent="0.25">
      <c r="A25" s="226"/>
      <c r="B25" s="148"/>
      <c r="C25" s="148"/>
      <c r="D25" s="226"/>
      <c r="E25" s="226"/>
      <c r="F25" s="226"/>
      <c r="G25" s="226"/>
      <c r="H25" s="226"/>
      <c r="I25" s="226"/>
      <c r="J25" s="226"/>
      <c r="K25" s="226"/>
      <c r="L25" s="226"/>
      <c r="M25" s="226"/>
      <c r="N25" s="226"/>
      <c r="O25" s="226"/>
      <c r="P25" s="226"/>
      <c r="Q25" s="226"/>
      <c r="R25" s="226"/>
      <c r="S25" s="226"/>
      <c r="T25" s="226"/>
      <c r="U25" s="226"/>
      <c r="V25" s="226"/>
      <c r="W25" s="226"/>
      <c r="X25" s="226"/>
      <c r="Y25" s="226"/>
    </row>
    <row r="26" spans="1:25" ht="15.75" x14ac:dyDescent="0.25">
      <c r="A26" s="226"/>
      <c r="B26" s="148"/>
      <c r="C26" s="218" t="s">
        <v>59</v>
      </c>
      <c r="D26" s="218" t="s">
        <v>61</v>
      </c>
      <c r="E26" s="218" t="s">
        <v>65</v>
      </c>
      <c r="F26" s="218" t="s">
        <v>245</v>
      </c>
      <c r="G26" s="233" t="s">
        <v>246</v>
      </c>
      <c r="H26" s="257" t="s">
        <v>247</v>
      </c>
      <c r="I26" s="218" t="s">
        <v>256</v>
      </c>
      <c r="J26" s="218" t="s">
        <v>248</v>
      </c>
      <c r="K26" s="233" t="s">
        <v>249</v>
      </c>
      <c r="L26" s="257" t="s">
        <v>250</v>
      </c>
      <c r="M26" s="218" t="s">
        <v>251</v>
      </c>
      <c r="N26" s="218" t="s">
        <v>252</v>
      </c>
      <c r="O26" s="218" t="s">
        <v>253</v>
      </c>
      <c r="P26" s="218" t="s">
        <v>254</v>
      </c>
      <c r="Q26" s="218" t="s">
        <v>255</v>
      </c>
      <c r="R26" s="218" t="s">
        <v>257</v>
      </c>
      <c r="S26" s="218" t="s">
        <v>259</v>
      </c>
      <c r="T26" s="218" t="s">
        <v>260</v>
      </c>
      <c r="U26" s="218" t="s">
        <v>261</v>
      </c>
      <c r="V26" s="218" t="s">
        <v>262</v>
      </c>
      <c r="W26" s="218" t="s">
        <v>264</v>
      </c>
      <c r="X26" s="218" t="s">
        <v>265</v>
      </c>
    </row>
    <row r="27" spans="1:25" ht="15.75" x14ac:dyDescent="0.25">
      <c r="A27" s="226"/>
      <c r="B27" s="74"/>
      <c r="C27" s="412" t="s">
        <v>201</v>
      </c>
      <c r="D27" s="412"/>
      <c r="E27" s="412"/>
      <c r="F27" s="412"/>
      <c r="G27" s="445"/>
      <c r="H27" s="411" t="s">
        <v>62</v>
      </c>
      <c r="I27" s="412"/>
      <c r="J27" s="412"/>
      <c r="K27" s="445"/>
      <c r="L27" s="446" t="s">
        <v>60</v>
      </c>
      <c r="M27" s="447"/>
      <c r="N27" s="447"/>
      <c r="O27" s="447"/>
      <c r="P27" s="447"/>
      <c r="Q27" s="447"/>
      <c r="R27" s="447"/>
      <c r="S27" s="447"/>
      <c r="T27" s="447"/>
      <c r="U27" s="447"/>
      <c r="V27" s="447"/>
      <c r="W27" s="447"/>
      <c r="X27" s="447"/>
    </row>
    <row r="28" spans="1:25" ht="63" x14ac:dyDescent="0.2">
      <c r="A28" s="226"/>
      <c r="B28" s="175" t="s">
        <v>112</v>
      </c>
      <c r="C28" s="143" t="s">
        <v>20</v>
      </c>
      <c r="D28" s="80" t="s">
        <v>19</v>
      </c>
      <c r="E28" s="143" t="s">
        <v>5</v>
      </c>
      <c r="F28" s="143" t="s">
        <v>39</v>
      </c>
      <c r="G28" s="177" t="s">
        <v>103</v>
      </c>
      <c r="H28" s="159" t="s">
        <v>7</v>
      </c>
      <c r="I28" s="157" t="s">
        <v>8</v>
      </c>
      <c r="J28" s="157" t="s">
        <v>9</v>
      </c>
      <c r="K28" s="160" t="s">
        <v>10</v>
      </c>
      <c r="L28" s="161" t="s">
        <v>285</v>
      </c>
      <c r="M28" s="157" t="s">
        <v>190</v>
      </c>
      <c r="N28" s="157" t="s">
        <v>175</v>
      </c>
      <c r="O28" s="157" t="s">
        <v>176</v>
      </c>
      <c r="P28" s="157" t="s">
        <v>177</v>
      </c>
      <c r="Q28" s="157" t="s">
        <v>178</v>
      </c>
      <c r="R28" s="157" t="s">
        <v>179</v>
      </c>
      <c r="S28" s="157" t="s">
        <v>180</v>
      </c>
      <c r="T28" s="157" t="s">
        <v>181</v>
      </c>
      <c r="U28" s="157" t="s">
        <v>182</v>
      </c>
      <c r="V28" s="157" t="s">
        <v>183</v>
      </c>
      <c r="W28" s="79" t="s">
        <v>184</v>
      </c>
      <c r="X28" s="79" t="s">
        <v>185</v>
      </c>
    </row>
    <row r="29" spans="1:25" x14ac:dyDescent="0.2">
      <c r="A29" s="305"/>
      <c r="B29" s="306">
        <v>1</v>
      </c>
      <c r="C29" s="287" t="e">
        <f>IF(AND(NOT(COUNTA(D29:E29)),(NOT(COUNTA(H29:K29))),(NOT(COUNTA(M29:X29)))),"",VLOOKUP($D$7,Info_County_Code,2,FALSE))</f>
        <v>#REF!</v>
      </c>
      <c r="D29" s="300"/>
      <c r="E29" s="307"/>
      <c r="F29" s="308" t="s">
        <v>81</v>
      </c>
      <c r="G29" s="239">
        <f>SUM(H29:K29,L29)</f>
        <v>26577</v>
      </c>
      <c r="H29" s="247"/>
      <c r="I29" s="244"/>
      <c r="J29" s="244"/>
      <c r="K29" s="265"/>
      <c r="L29" s="243">
        <f>SUM(M29,N29:X29)</f>
        <v>26577</v>
      </c>
      <c r="M29" s="244">
        <v>41</v>
      </c>
      <c r="N29" s="244">
        <v>4680</v>
      </c>
      <c r="O29" s="244"/>
      <c r="P29" s="244"/>
      <c r="Q29" s="244"/>
      <c r="R29" s="244"/>
      <c r="S29" s="244"/>
      <c r="T29" s="244"/>
      <c r="U29" s="244">
        <v>0</v>
      </c>
      <c r="V29" s="244">
        <v>0</v>
      </c>
      <c r="W29" s="244">
        <v>21856</v>
      </c>
      <c r="X29" s="244"/>
    </row>
    <row r="30" spans="1:25" x14ac:dyDescent="0.2">
      <c r="A30" s="226"/>
      <c r="B30" s="218">
        <v>2</v>
      </c>
      <c r="C30" s="287" t="e">
        <f>IF(AND(NOT(COUNTA(D30:E30)),(NOT(COUNTA(H30:K30))),(NOT(COUNTA(M30:X30)))),"",VLOOKUP($D$7,Info_County_Code,2,FALSE))</f>
        <v>#REF!</v>
      </c>
      <c r="D30" s="300"/>
      <c r="E30" s="307"/>
      <c r="F30" s="308" t="s">
        <v>82</v>
      </c>
      <c r="G30" s="239">
        <f>SUM(H30:K30,L30)</f>
        <v>15433</v>
      </c>
      <c r="H30" s="247"/>
      <c r="I30" s="241"/>
      <c r="J30" s="241"/>
      <c r="K30" s="242"/>
      <c r="L30" s="243">
        <f>SUM(M30,N30:X30)</f>
        <v>15433</v>
      </c>
      <c r="M30" s="241">
        <v>135</v>
      </c>
      <c r="N30" s="241">
        <v>15298</v>
      </c>
      <c r="O30" s="241"/>
      <c r="P30" s="241"/>
      <c r="Q30" s="241"/>
      <c r="R30" s="241"/>
      <c r="S30" s="241"/>
      <c r="T30" s="241"/>
      <c r="U30" s="241"/>
      <c r="V30" s="241"/>
      <c r="W30" s="241"/>
      <c r="X30" s="241"/>
    </row>
    <row r="31" spans="1:25" x14ac:dyDescent="0.2">
      <c r="A31" s="226"/>
      <c r="B31" s="218">
        <v>3</v>
      </c>
      <c r="C31" s="287" t="str">
        <f>IF(AND(NOT(COUNTA(D31:E31)),(NOT(COUNTA(H31:K31))),(NOT(COUNTA(M31:X31)))),"",VLOOKUP($D$7,Info_County_Code,2,FALSE))</f>
        <v/>
      </c>
      <c r="D31" s="300"/>
      <c r="E31" s="307"/>
      <c r="F31" s="308" t="s">
        <v>83</v>
      </c>
      <c r="G31" s="239">
        <f>SUM(H31:K31,L31)</f>
        <v>0</v>
      </c>
      <c r="H31" s="247"/>
      <c r="I31" s="241"/>
      <c r="J31" s="241"/>
      <c r="K31" s="242"/>
      <c r="L31" s="243">
        <f>SUM(M31,N31:X31)</f>
        <v>0</v>
      </c>
      <c r="M31" s="241"/>
      <c r="N31" s="241"/>
      <c r="O31" s="241"/>
      <c r="P31" s="241"/>
      <c r="Q31" s="241"/>
      <c r="R31" s="241"/>
      <c r="S31" s="241"/>
      <c r="T31" s="241"/>
      <c r="U31" s="241"/>
      <c r="V31" s="241"/>
      <c r="W31" s="241"/>
      <c r="X31" s="241"/>
    </row>
    <row r="32" spans="1:25" x14ac:dyDescent="0.2">
      <c r="A32" s="226"/>
      <c r="B32" s="306">
        <v>4</v>
      </c>
      <c r="C32" s="287" t="str">
        <f>IF(AND(NOT(COUNTA(D32:E32)),(NOT(COUNTA(H32:K32))),(NOT(COUNTA(M32:X32)))),"",VLOOKUP($D$7,Info_County_Code,2,FALSE))</f>
        <v/>
      </c>
      <c r="D32" s="300"/>
      <c r="E32" s="307"/>
      <c r="F32" s="308" t="s">
        <v>84</v>
      </c>
      <c r="G32" s="239">
        <f>SUM(H32:K32,L32)</f>
        <v>0</v>
      </c>
      <c r="H32" s="247"/>
      <c r="I32" s="241"/>
      <c r="J32" s="241"/>
      <c r="K32" s="242"/>
      <c r="L32" s="243">
        <f>SUM(M32,N32:X32)</f>
        <v>0</v>
      </c>
      <c r="M32" s="241"/>
      <c r="N32" s="241"/>
      <c r="O32" s="241"/>
      <c r="P32" s="241"/>
      <c r="Q32" s="241"/>
      <c r="R32" s="241"/>
      <c r="S32" s="241"/>
      <c r="T32" s="241"/>
      <c r="U32" s="241"/>
      <c r="V32" s="241"/>
      <c r="W32" s="241"/>
      <c r="X32" s="241"/>
    </row>
    <row r="33" spans="1:24" x14ac:dyDescent="0.2">
      <c r="A33" s="226"/>
      <c r="B33" s="218">
        <v>5</v>
      </c>
      <c r="C33" s="287" t="str">
        <f>IF(AND(NOT(COUNTA(D33:E33)),(NOT(COUNTA(H33:K33))),(NOT(COUNTA(M33:X33)))),"",VLOOKUP($D$7,Info_County_Code,2,FALSE))</f>
        <v/>
      </c>
      <c r="D33" s="300"/>
      <c r="E33" s="307"/>
      <c r="F33" s="308" t="s">
        <v>85</v>
      </c>
      <c r="G33" s="239">
        <f>SUM(H33:K33,L33)</f>
        <v>0</v>
      </c>
      <c r="H33" s="247"/>
      <c r="I33" s="241"/>
      <c r="J33" s="241"/>
      <c r="K33" s="242"/>
      <c r="L33" s="243">
        <f>SUM(M33,N33:X33)</f>
        <v>0</v>
      </c>
      <c r="M33" s="241"/>
      <c r="N33" s="241"/>
      <c r="O33" s="241"/>
      <c r="P33" s="241"/>
      <c r="Q33" s="241"/>
      <c r="R33" s="241"/>
      <c r="S33" s="241"/>
      <c r="T33" s="241"/>
      <c r="U33" s="241"/>
      <c r="V33" s="241"/>
      <c r="W33" s="241"/>
      <c r="X33" s="241"/>
    </row>
  </sheetData>
  <sheetProtection sheet="1" objects="1" scenarios="1" formatColumns="0" formatRows="0" selectLockedCells="1"/>
  <mergeCells count="13">
    <mergeCell ref="G12:J12"/>
    <mergeCell ref="K12:W12"/>
    <mergeCell ref="C21:E21"/>
    <mergeCell ref="C17:E17"/>
    <mergeCell ref="C18:E18"/>
    <mergeCell ref="C15:E15"/>
    <mergeCell ref="C16:E16"/>
    <mergeCell ref="C20:E20"/>
    <mergeCell ref="H27:K27"/>
    <mergeCell ref="C27:G27"/>
    <mergeCell ref="C19:E19"/>
    <mergeCell ref="C14:E14"/>
    <mergeCell ref="L27:X27"/>
  </mergeCells>
  <hyperlinks>
    <hyperlink ref="B1" location="'2. Summary'!A1" display="Back to Summary" xr:uid="{00000000-0004-0000-0700-000000000000}"/>
    <hyperlink ref="B1:D1" location="'2. Component Summary'!A1" display="Back to Summary" xr:uid="{00000000-0004-0000-0700-000001000000}"/>
  </hyperlinks>
  <pageMargins left="0.25" right="0.25" top="0.75" bottom="0.75" header="0.3" footer="0.3"/>
  <pageSetup paperSize="17" scale="43" orientation="landscape" r:id="rId1"/>
  <headerFooter>
    <oddHeader xml:space="preserve">&amp;C&amp;"Arial,Regular"&amp;16Annual Mental Health Services Act Revenue and Expenditure Report for                 
Fiscal Year 2016-17    
Workforce Education and Training (WET) Summary    
</oddHeader>
    <oddFooter>&amp;C&amp;"Arial,Regular"&amp;16Page &amp;P of &amp;N</oddFooter>
  </headerFooter>
  <colBreaks count="1" manualBreakCount="1">
    <brk id="24" min="5" max="32"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pageSetUpPr autoPageBreaks="0"/>
  </sheetPr>
  <dimension ref="A1:AA48"/>
  <sheetViews>
    <sheetView showGridLines="0" zoomScale="60" zoomScaleNormal="60" zoomScaleSheetLayoutView="40" workbookViewId="0">
      <selection activeCell="I36" sqref="I36"/>
    </sheetView>
  </sheetViews>
  <sheetFormatPr defaultColWidth="0" defaultRowHeight="15" zeroHeight="1" x14ac:dyDescent="0.2"/>
  <cols>
    <col min="1" max="1" width="2.7109375" style="226" customWidth="1"/>
    <col min="2" max="2" width="6.7109375" style="226" customWidth="1"/>
    <col min="3" max="3" width="10.140625" style="226" bestFit="1" customWidth="1"/>
    <col min="4" max="4" width="33.140625" style="226" customWidth="1"/>
    <col min="5" max="6" width="17.7109375" style="226" customWidth="1"/>
    <col min="7" max="7" width="20.140625" style="226" customWidth="1"/>
    <col min="8" max="8" width="21.5703125" style="226" customWidth="1"/>
    <col min="9" max="9" width="20.28515625" style="226" customWidth="1"/>
    <col min="10" max="10" width="17.7109375" style="226" customWidth="1"/>
    <col min="11" max="11" width="22.7109375" style="226" customWidth="1"/>
    <col min="12" max="12" width="17.7109375" style="226" customWidth="1"/>
    <col min="13" max="13" width="18.85546875" style="226" customWidth="1"/>
    <col min="14" max="14" width="17.5703125" style="226" customWidth="1"/>
    <col min="15" max="15" width="18.28515625" style="226" customWidth="1"/>
    <col min="16" max="16" width="18.7109375" style="226" customWidth="1"/>
    <col min="17" max="18" width="19" style="226" customWidth="1"/>
    <col min="19" max="20" width="18.42578125" style="226" customWidth="1"/>
    <col min="21" max="21" width="20.7109375" style="226" customWidth="1"/>
    <col min="22" max="22" width="18.28515625" style="226" customWidth="1"/>
    <col min="23" max="23" width="18.140625" style="226" customWidth="1"/>
    <col min="24" max="24" width="18.42578125" style="226" customWidth="1"/>
    <col min="25" max="25" width="16.5703125" style="226" hidden="1" customWidth="1"/>
    <col min="26" max="27" width="22.140625" style="226" hidden="1" customWidth="1"/>
    <col min="28" max="16384" width="9.140625" style="226" hidden="1"/>
  </cols>
  <sheetData>
    <row r="1" spans="2:23" x14ac:dyDescent="0.2">
      <c r="B1" s="406" t="s">
        <v>229</v>
      </c>
      <c r="C1" s="406"/>
      <c r="D1" s="406"/>
    </row>
    <row r="2" spans="2:23" x14ac:dyDescent="0.2">
      <c r="B2" s="208"/>
      <c r="C2" s="208"/>
      <c r="D2" s="208"/>
    </row>
    <row r="3" spans="2:23" ht="18" x14ac:dyDescent="0.2">
      <c r="B3" s="340" t="s">
        <v>270</v>
      </c>
      <c r="C3" s="1"/>
      <c r="D3" s="1"/>
      <c r="E3" s="1"/>
      <c r="F3" s="1"/>
      <c r="G3" s="1"/>
      <c r="H3" s="1"/>
    </row>
    <row r="4" spans="2:23" ht="18" x14ac:dyDescent="0.2">
      <c r="B4" s="340" t="s">
        <v>0</v>
      </c>
      <c r="C4" s="1"/>
      <c r="D4" s="1"/>
      <c r="E4" s="1"/>
      <c r="F4" s="1"/>
      <c r="G4" s="1"/>
      <c r="H4" s="1"/>
    </row>
    <row r="5" spans="2:23" ht="18" x14ac:dyDescent="0.2">
      <c r="B5" s="340" t="s">
        <v>118</v>
      </c>
      <c r="C5" s="1"/>
      <c r="D5" s="1"/>
      <c r="E5" s="1"/>
      <c r="F5" s="1"/>
      <c r="G5" s="1"/>
      <c r="H5" s="1"/>
    </row>
    <row r="6" spans="2:23" ht="15.75" x14ac:dyDescent="0.2">
      <c r="D6" s="166"/>
      <c r="E6" s="166"/>
      <c r="F6" s="166"/>
      <c r="G6" s="166"/>
      <c r="H6" s="166"/>
    </row>
    <row r="7" spans="2:23" ht="15.75" x14ac:dyDescent="0.25">
      <c r="B7" s="205" t="s">
        <v>2</v>
      </c>
      <c r="C7" s="309"/>
      <c r="D7" s="89" t="str">
        <f>IF(ISBLANK('1. Information'!D6),"",'1. Information'!D6)</f>
        <v>Shasta</v>
      </c>
      <c r="E7" s="62"/>
      <c r="F7" s="205" t="s">
        <v>3</v>
      </c>
      <c r="G7" s="227">
        <f ca="1">IF(ISBLANK('1. Information'!D5),"",'1. Information'!D5)</f>
        <v>44144.476150462964</v>
      </c>
    </row>
    <row r="8" spans="2:23" ht="15.75" x14ac:dyDescent="0.25">
      <c r="C8" s="7"/>
      <c r="E8" s="7"/>
      <c r="F8" s="62"/>
      <c r="G8" s="7"/>
      <c r="H8" s="229"/>
    </row>
    <row r="9" spans="2:23" ht="18.75" thickBot="1" x14ac:dyDescent="0.3">
      <c r="B9" s="341" t="s">
        <v>280</v>
      </c>
      <c r="C9" s="140"/>
      <c r="D9" s="230"/>
      <c r="E9" s="140"/>
      <c r="F9" s="167"/>
      <c r="G9" s="140"/>
      <c r="H9" s="231"/>
      <c r="I9" s="230"/>
      <c r="J9" s="230"/>
      <c r="K9" s="230"/>
      <c r="L9" s="230"/>
      <c r="M9" s="230"/>
      <c r="N9" s="230"/>
      <c r="O9" s="230"/>
      <c r="P9" s="230"/>
      <c r="Q9" s="230"/>
      <c r="R9" s="230"/>
      <c r="S9" s="230"/>
      <c r="T9" s="230"/>
      <c r="U9" s="230"/>
      <c r="V9" s="230"/>
      <c r="W9" s="230"/>
    </row>
    <row r="10" spans="2:23" ht="16.5" thickTop="1" x14ac:dyDescent="0.25">
      <c r="B10" s="7"/>
      <c r="C10" s="7"/>
      <c r="E10" s="7"/>
      <c r="F10" s="62"/>
      <c r="G10" s="7"/>
      <c r="H10" s="229"/>
    </row>
    <row r="11" spans="2:23" ht="15.75" x14ac:dyDescent="0.25">
      <c r="C11" s="7"/>
      <c r="E11" s="7"/>
      <c r="F11" s="124" t="s">
        <v>59</v>
      </c>
      <c r="G11" s="141" t="s">
        <v>61</v>
      </c>
      <c r="H11" s="234" t="s">
        <v>65</v>
      </c>
      <c r="I11" s="218" t="s">
        <v>245</v>
      </c>
      <c r="J11" s="233" t="s">
        <v>246</v>
      </c>
      <c r="K11" s="257" t="s">
        <v>247</v>
      </c>
      <c r="L11" s="218" t="s">
        <v>256</v>
      </c>
      <c r="M11" s="218" t="s">
        <v>248</v>
      </c>
      <c r="N11" s="218" t="s">
        <v>249</v>
      </c>
      <c r="O11" s="218" t="s">
        <v>250</v>
      </c>
      <c r="P11" s="218" t="s">
        <v>251</v>
      </c>
      <c r="Q11" s="218" t="s">
        <v>252</v>
      </c>
      <c r="R11" s="218" t="s">
        <v>253</v>
      </c>
      <c r="S11" s="218" t="s">
        <v>254</v>
      </c>
      <c r="T11" s="218" t="s">
        <v>255</v>
      </c>
      <c r="U11" s="218" t="s">
        <v>257</v>
      </c>
      <c r="V11" s="218" t="s">
        <v>259</v>
      </c>
      <c r="W11" s="218" t="s">
        <v>260</v>
      </c>
    </row>
    <row r="12" spans="2:23" ht="15.75" x14ac:dyDescent="0.25">
      <c r="E12" s="7"/>
      <c r="F12" s="187"/>
      <c r="G12" s="402" t="s">
        <v>202</v>
      </c>
      <c r="H12" s="397"/>
      <c r="I12" s="397"/>
      <c r="J12" s="403"/>
      <c r="K12" s="411" t="s">
        <v>60</v>
      </c>
      <c r="L12" s="412"/>
      <c r="M12" s="412"/>
      <c r="N12" s="412"/>
      <c r="O12" s="412"/>
      <c r="P12" s="412"/>
      <c r="Q12" s="412"/>
      <c r="R12" s="412"/>
      <c r="S12" s="412"/>
      <c r="T12" s="412"/>
      <c r="U12" s="412"/>
      <c r="V12" s="412"/>
      <c r="W12" s="412"/>
    </row>
    <row r="13" spans="2:23" ht="47.25" x14ac:dyDescent="0.25">
      <c r="D13" s="7"/>
      <c r="E13" s="62"/>
      <c r="F13" s="126" t="s">
        <v>192</v>
      </c>
      <c r="G13" s="112" t="s">
        <v>7</v>
      </c>
      <c r="H13" s="75" t="s">
        <v>8</v>
      </c>
      <c r="I13" s="75" t="s">
        <v>63</v>
      </c>
      <c r="J13" s="118" t="s">
        <v>10</v>
      </c>
      <c r="K13" s="127" t="s">
        <v>163</v>
      </c>
      <c r="L13" s="75" t="s">
        <v>190</v>
      </c>
      <c r="M13" s="79" t="s">
        <v>164</v>
      </c>
      <c r="N13" s="79" t="s">
        <v>165</v>
      </c>
      <c r="O13" s="80" t="s">
        <v>166</v>
      </c>
      <c r="P13" s="80" t="s">
        <v>167</v>
      </c>
      <c r="Q13" s="80" t="s">
        <v>168</v>
      </c>
      <c r="R13" s="79" t="s">
        <v>169</v>
      </c>
      <c r="S13" s="79" t="s">
        <v>170</v>
      </c>
      <c r="T13" s="79" t="s">
        <v>171</v>
      </c>
      <c r="U13" s="79" t="s">
        <v>172</v>
      </c>
      <c r="V13" s="79" t="s">
        <v>173</v>
      </c>
      <c r="W13" s="79" t="s">
        <v>174</v>
      </c>
    </row>
    <row r="14" spans="2:23" ht="15.75" x14ac:dyDescent="0.25">
      <c r="B14" s="218">
        <v>1</v>
      </c>
      <c r="C14" s="404" t="s">
        <v>160</v>
      </c>
      <c r="D14" s="404"/>
      <c r="E14" s="404"/>
      <c r="F14" s="239">
        <f t="shared" ref="F14:F20" si="0">SUM(G14:J14,K14)</f>
        <v>0</v>
      </c>
      <c r="G14" s="302"/>
      <c r="H14" s="303"/>
      <c r="I14" s="303"/>
      <c r="J14" s="304"/>
      <c r="K14" s="243">
        <f>SUM(L14,M14:W14)</f>
        <v>0</v>
      </c>
      <c r="L14" s="303"/>
      <c r="M14" s="241"/>
      <c r="N14" s="241"/>
      <c r="O14" s="241"/>
      <c r="P14" s="241"/>
      <c r="Q14" s="241"/>
      <c r="R14" s="241"/>
      <c r="S14" s="241"/>
      <c r="T14" s="241"/>
      <c r="U14" s="241"/>
      <c r="V14" s="241"/>
      <c r="W14" s="241"/>
    </row>
    <row r="15" spans="2:23" ht="15.75" x14ac:dyDescent="0.25">
      <c r="B15" s="218">
        <v>2</v>
      </c>
      <c r="C15" s="404" t="s">
        <v>159</v>
      </c>
      <c r="D15" s="404"/>
      <c r="E15" s="404"/>
      <c r="F15" s="239">
        <f t="shared" si="0"/>
        <v>0</v>
      </c>
      <c r="G15" s="302"/>
      <c r="H15" s="303"/>
      <c r="I15" s="303"/>
      <c r="J15" s="304"/>
      <c r="K15" s="243">
        <f t="shared" ref="K15:K20" si="1">SUM(L15,M15:W15)</f>
        <v>0</v>
      </c>
      <c r="L15" s="303"/>
      <c r="M15" s="241"/>
      <c r="N15" s="241"/>
      <c r="O15" s="241"/>
      <c r="P15" s="241"/>
      <c r="Q15" s="241"/>
      <c r="R15" s="241"/>
      <c r="S15" s="241"/>
      <c r="T15" s="241"/>
      <c r="U15" s="241"/>
      <c r="V15" s="241"/>
      <c r="W15" s="241"/>
    </row>
    <row r="16" spans="2:23" ht="15.75" x14ac:dyDescent="0.25">
      <c r="B16" s="218">
        <v>3</v>
      </c>
      <c r="C16" s="404" t="s">
        <v>95</v>
      </c>
      <c r="D16" s="404"/>
      <c r="E16" s="404"/>
      <c r="F16" s="239">
        <f t="shared" si="0"/>
        <v>0</v>
      </c>
      <c r="G16" s="302"/>
      <c r="H16" s="303"/>
      <c r="I16" s="303"/>
      <c r="J16" s="304"/>
      <c r="K16" s="243">
        <f t="shared" si="1"/>
        <v>0</v>
      </c>
      <c r="L16" s="303"/>
      <c r="M16" s="241"/>
      <c r="N16" s="241"/>
      <c r="O16" s="241"/>
      <c r="P16" s="241"/>
      <c r="Q16" s="241"/>
      <c r="R16" s="241"/>
      <c r="S16" s="241"/>
      <c r="T16" s="241"/>
      <c r="U16" s="241"/>
      <c r="V16" s="241"/>
      <c r="W16" s="241"/>
    </row>
    <row r="17" spans="2:24" ht="15.75" x14ac:dyDescent="0.25">
      <c r="B17" s="218">
        <v>4</v>
      </c>
      <c r="C17" s="404" t="s">
        <v>94</v>
      </c>
      <c r="D17" s="404"/>
      <c r="E17" s="404"/>
      <c r="F17" s="239">
        <f t="shared" si="0"/>
        <v>0</v>
      </c>
      <c r="G17" s="302"/>
      <c r="H17" s="303"/>
      <c r="I17" s="303"/>
      <c r="J17" s="304"/>
      <c r="K17" s="243">
        <f t="shared" si="1"/>
        <v>0</v>
      </c>
      <c r="L17" s="303"/>
      <c r="M17" s="241"/>
      <c r="N17" s="241"/>
      <c r="O17" s="241"/>
      <c r="P17" s="241"/>
      <c r="Q17" s="241"/>
      <c r="R17" s="241"/>
      <c r="S17" s="241"/>
      <c r="T17" s="241"/>
      <c r="U17" s="241"/>
      <c r="V17" s="241"/>
      <c r="W17" s="241"/>
    </row>
    <row r="18" spans="2:24" ht="15.75" x14ac:dyDescent="0.25">
      <c r="B18" s="218">
        <v>5</v>
      </c>
      <c r="C18" s="404" t="s">
        <v>236</v>
      </c>
      <c r="D18" s="404"/>
      <c r="E18" s="404"/>
      <c r="F18" s="239">
        <f t="shared" si="0"/>
        <v>0</v>
      </c>
      <c r="G18" s="302"/>
      <c r="H18" s="303"/>
      <c r="I18" s="303"/>
      <c r="J18" s="304"/>
      <c r="K18" s="243">
        <f t="shared" si="1"/>
        <v>0</v>
      </c>
      <c r="L18" s="303"/>
      <c r="M18" s="241"/>
      <c r="N18" s="241"/>
      <c r="O18" s="241"/>
      <c r="P18" s="241"/>
      <c r="Q18" s="241"/>
      <c r="R18" s="241"/>
      <c r="S18" s="241"/>
      <c r="T18" s="241"/>
      <c r="U18" s="241"/>
      <c r="V18" s="241"/>
      <c r="W18" s="241"/>
    </row>
    <row r="19" spans="2:24" ht="15.75" x14ac:dyDescent="0.25">
      <c r="B19" s="218">
        <v>6</v>
      </c>
      <c r="C19" s="404" t="s">
        <v>237</v>
      </c>
      <c r="D19" s="404"/>
      <c r="E19" s="404"/>
      <c r="F19" s="239">
        <f t="shared" si="0"/>
        <v>0</v>
      </c>
      <c r="G19" s="302"/>
      <c r="H19" s="303"/>
      <c r="I19" s="303"/>
      <c r="J19" s="304"/>
      <c r="K19" s="243">
        <f t="shared" si="1"/>
        <v>0</v>
      </c>
      <c r="L19" s="303"/>
      <c r="M19" s="241"/>
      <c r="N19" s="241"/>
      <c r="O19" s="241"/>
      <c r="P19" s="241"/>
      <c r="Q19" s="241"/>
      <c r="R19" s="241"/>
      <c r="S19" s="241"/>
      <c r="T19" s="241"/>
      <c r="U19" s="241"/>
      <c r="V19" s="241"/>
      <c r="W19" s="241"/>
    </row>
    <row r="20" spans="2:24" ht="15.75" x14ac:dyDescent="0.25">
      <c r="B20" s="218">
        <v>7</v>
      </c>
      <c r="C20" s="404" t="s">
        <v>152</v>
      </c>
      <c r="D20" s="404"/>
      <c r="E20" s="404"/>
      <c r="F20" s="239">
        <f t="shared" si="0"/>
        <v>25986</v>
      </c>
      <c r="G20" s="248">
        <f>SUM(H29:H48)</f>
        <v>0</v>
      </c>
      <c r="H20" s="249">
        <f>SUM(I29:I48)</f>
        <v>0</v>
      </c>
      <c r="I20" s="249">
        <f>SUM(J29:J48)</f>
        <v>0</v>
      </c>
      <c r="J20" s="250">
        <f>SUM(K29:K48)</f>
        <v>0</v>
      </c>
      <c r="K20" s="245">
        <f t="shared" si="1"/>
        <v>25986</v>
      </c>
      <c r="L20" s="249">
        <f t="shared" ref="L20:W20" si="2">SUM(M29:M48)</f>
        <v>3660</v>
      </c>
      <c r="M20" s="249">
        <f t="shared" si="2"/>
        <v>28595</v>
      </c>
      <c r="N20" s="249">
        <f t="shared" si="2"/>
        <v>0</v>
      </c>
      <c r="O20" s="249">
        <f t="shared" si="2"/>
        <v>0</v>
      </c>
      <c r="P20" s="249">
        <f t="shared" si="2"/>
        <v>0</v>
      </c>
      <c r="Q20" s="249">
        <f t="shared" si="2"/>
        <v>0</v>
      </c>
      <c r="R20" s="249">
        <f t="shared" si="2"/>
        <v>0</v>
      </c>
      <c r="S20" s="249">
        <f t="shared" si="2"/>
        <v>0</v>
      </c>
      <c r="T20" s="249">
        <f t="shared" si="2"/>
        <v>0</v>
      </c>
      <c r="U20" s="249">
        <f t="shared" si="2"/>
        <v>0</v>
      </c>
      <c r="V20" s="249">
        <f t="shared" si="2"/>
        <v>-6269</v>
      </c>
      <c r="W20" s="249">
        <f t="shared" si="2"/>
        <v>0</v>
      </c>
    </row>
    <row r="21" spans="2:24" ht="30.95" customHeight="1" x14ac:dyDescent="0.25">
      <c r="B21" s="218">
        <v>8</v>
      </c>
      <c r="C21" s="401" t="s">
        <v>38</v>
      </c>
      <c r="D21" s="401"/>
      <c r="E21" s="401"/>
      <c r="F21" s="109">
        <f t="shared" ref="F21:W21" si="3">SUM(F14:F20)</f>
        <v>25986</v>
      </c>
      <c r="G21" s="107">
        <f>SUM(G14:G20)</f>
        <v>0</v>
      </c>
      <c r="H21" s="51">
        <f t="shared" si="3"/>
        <v>0</v>
      </c>
      <c r="I21" s="51">
        <f t="shared" si="3"/>
        <v>0</v>
      </c>
      <c r="J21" s="109">
        <f t="shared" si="3"/>
        <v>0</v>
      </c>
      <c r="K21" s="107">
        <f t="shared" si="3"/>
        <v>25986</v>
      </c>
      <c r="L21" s="51">
        <f t="shared" si="3"/>
        <v>3660</v>
      </c>
      <c r="M21" s="51">
        <f t="shared" si="3"/>
        <v>28595</v>
      </c>
      <c r="N21" s="51">
        <f t="shared" si="3"/>
        <v>0</v>
      </c>
      <c r="O21" s="51">
        <f t="shared" si="3"/>
        <v>0</v>
      </c>
      <c r="P21" s="51">
        <f t="shared" si="3"/>
        <v>0</v>
      </c>
      <c r="Q21" s="51">
        <f t="shared" si="3"/>
        <v>0</v>
      </c>
      <c r="R21" s="51">
        <f t="shared" si="3"/>
        <v>0</v>
      </c>
      <c r="S21" s="51">
        <f t="shared" si="3"/>
        <v>0</v>
      </c>
      <c r="T21" s="51">
        <f t="shared" si="3"/>
        <v>0</v>
      </c>
      <c r="U21" s="51">
        <f t="shared" si="3"/>
        <v>0</v>
      </c>
      <c r="V21" s="51">
        <f t="shared" si="3"/>
        <v>-6269</v>
      </c>
      <c r="W21" s="51">
        <f t="shared" si="3"/>
        <v>0</v>
      </c>
    </row>
    <row r="22" spans="2:24" ht="30.95" customHeight="1" x14ac:dyDescent="0.25">
      <c r="B22" s="218">
        <v>9</v>
      </c>
      <c r="C22" s="435" t="s">
        <v>215</v>
      </c>
      <c r="D22" s="435"/>
      <c r="E22" s="435"/>
      <c r="F22" s="109"/>
      <c r="G22" s="107"/>
      <c r="H22" s="51"/>
      <c r="I22" s="51"/>
      <c r="J22" s="109"/>
      <c r="K22" s="107">
        <f>SUM(L22,M22:W22)</f>
        <v>471882</v>
      </c>
      <c r="L22" s="51">
        <f>'2. Component Summary'!H27+'2. Component Summary'!H32</f>
        <v>6551</v>
      </c>
      <c r="M22" s="51">
        <f>'2. Component Summary'!H30+'2. Component Summary'!H31</f>
        <v>0</v>
      </c>
      <c r="N22" s="51">
        <f>'2. Component Summary'!H26</f>
        <v>0</v>
      </c>
      <c r="O22" s="51">
        <f>'2. Component Summary'!H25</f>
        <v>0</v>
      </c>
      <c r="P22" s="51">
        <f>'2. Component Summary'!H24</f>
        <v>0</v>
      </c>
      <c r="Q22" s="51">
        <f>'2. Component Summary'!H23</f>
        <v>0</v>
      </c>
      <c r="R22" s="51">
        <f>'2. Component Summary'!H22</f>
        <v>0</v>
      </c>
      <c r="S22" s="51">
        <f>'2. Component Summary'!H21</f>
        <v>0</v>
      </c>
      <c r="T22" s="51">
        <f>'2. Component Summary'!H20</f>
        <v>0</v>
      </c>
      <c r="U22" s="51">
        <f>'2. Component Summary'!H19</f>
        <v>471600</v>
      </c>
      <c r="V22" s="51">
        <f>'2. Component Summary'!H18</f>
        <v>-6269</v>
      </c>
      <c r="W22" s="51">
        <f>'2. Component Summary'!H17</f>
        <v>0</v>
      </c>
    </row>
    <row r="23" spans="2:24" s="216" customFormat="1" x14ac:dyDescent="0.2"/>
    <row r="24" spans="2:24" ht="18.75" thickBot="1" x14ac:dyDescent="0.3">
      <c r="B24" s="347" t="s">
        <v>281</v>
      </c>
      <c r="C24" s="230"/>
      <c r="D24" s="188"/>
      <c r="E24" s="188"/>
      <c r="F24" s="188"/>
      <c r="G24" s="188"/>
      <c r="H24" s="232"/>
      <c r="I24" s="230"/>
      <c r="J24" s="230"/>
      <c r="K24" s="230"/>
      <c r="L24" s="230"/>
      <c r="M24" s="230"/>
      <c r="N24" s="230"/>
      <c r="O24" s="230"/>
      <c r="P24" s="230"/>
      <c r="Q24" s="230"/>
      <c r="R24" s="230"/>
      <c r="S24" s="230"/>
      <c r="T24" s="230"/>
      <c r="U24" s="230"/>
      <c r="V24" s="230"/>
      <c r="W24" s="230"/>
      <c r="X24" s="230"/>
    </row>
    <row r="25" spans="2:24" ht="16.5" thickTop="1" x14ac:dyDescent="0.25">
      <c r="C25" s="14"/>
      <c r="D25" s="14"/>
      <c r="E25" s="14"/>
      <c r="F25" s="14"/>
      <c r="G25" s="228"/>
    </row>
    <row r="26" spans="2:24" x14ac:dyDescent="0.2">
      <c r="C26" s="72" t="s">
        <v>59</v>
      </c>
      <c r="D26" s="72" t="s">
        <v>61</v>
      </c>
      <c r="E26" s="72" t="s">
        <v>65</v>
      </c>
      <c r="F26" s="72" t="s">
        <v>245</v>
      </c>
      <c r="G26" s="255" t="s">
        <v>246</v>
      </c>
      <c r="H26" s="257" t="s">
        <v>247</v>
      </c>
      <c r="I26" s="218" t="s">
        <v>256</v>
      </c>
      <c r="J26" s="218" t="s">
        <v>248</v>
      </c>
      <c r="K26" s="233" t="s">
        <v>249</v>
      </c>
      <c r="L26" s="257" t="s">
        <v>250</v>
      </c>
      <c r="M26" s="218" t="s">
        <v>251</v>
      </c>
      <c r="N26" s="218" t="s">
        <v>252</v>
      </c>
      <c r="O26" s="218" t="s">
        <v>253</v>
      </c>
      <c r="P26" s="218" t="s">
        <v>254</v>
      </c>
      <c r="Q26" s="218" t="s">
        <v>255</v>
      </c>
      <c r="R26" s="218" t="s">
        <v>257</v>
      </c>
      <c r="S26" s="218" t="s">
        <v>259</v>
      </c>
      <c r="T26" s="218" t="s">
        <v>260</v>
      </c>
      <c r="U26" s="218" t="s">
        <v>261</v>
      </c>
      <c r="V26" s="218" t="s">
        <v>262</v>
      </c>
      <c r="W26" s="218" t="s">
        <v>264</v>
      </c>
      <c r="X26" s="218" t="s">
        <v>265</v>
      </c>
    </row>
    <row r="27" spans="2:24" ht="15" customHeight="1" x14ac:dyDescent="0.25">
      <c r="B27" s="74"/>
      <c r="C27" s="412" t="s">
        <v>216</v>
      </c>
      <c r="D27" s="412"/>
      <c r="E27" s="412"/>
      <c r="F27" s="412"/>
      <c r="G27" s="445"/>
      <c r="H27" s="451" t="s">
        <v>202</v>
      </c>
      <c r="I27" s="438"/>
      <c r="J27" s="438"/>
      <c r="K27" s="452"/>
      <c r="L27" s="451" t="s">
        <v>203</v>
      </c>
      <c r="M27" s="438"/>
      <c r="N27" s="438"/>
      <c r="O27" s="438"/>
      <c r="P27" s="438"/>
      <c r="Q27" s="438"/>
      <c r="R27" s="438"/>
      <c r="S27" s="438"/>
      <c r="T27" s="438"/>
      <c r="U27" s="438"/>
      <c r="V27" s="438"/>
      <c r="W27" s="438"/>
      <c r="X27" s="438"/>
    </row>
    <row r="28" spans="2:24" ht="69" customHeight="1" x14ac:dyDescent="0.2">
      <c r="B28" s="143" t="s">
        <v>112</v>
      </c>
      <c r="C28" s="143" t="s">
        <v>20</v>
      </c>
      <c r="D28" s="80" t="s">
        <v>22</v>
      </c>
      <c r="E28" s="80" t="s">
        <v>36</v>
      </c>
      <c r="F28" s="80" t="s">
        <v>37</v>
      </c>
      <c r="G28" s="177" t="s">
        <v>96</v>
      </c>
      <c r="H28" s="159" t="s">
        <v>7</v>
      </c>
      <c r="I28" s="157" t="s">
        <v>8</v>
      </c>
      <c r="J28" s="157" t="s">
        <v>9</v>
      </c>
      <c r="K28" s="160" t="s">
        <v>10</v>
      </c>
      <c r="L28" s="161" t="s">
        <v>163</v>
      </c>
      <c r="M28" s="157" t="s">
        <v>190</v>
      </c>
      <c r="N28" s="157" t="s">
        <v>164</v>
      </c>
      <c r="O28" s="157" t="s">
        <v>165</v>
      </c>
      <c r="P28" s="157" t="s">
        <v>166</v>
      </c>
      <c r="Q28" s="157" t="s">
        <v>167</v>
      </c>
      <c r="R28" s="157" t="s">
        <v>168</v>
      </c>
      <c r="S28" s="157" t="s">
        <v>169</v>
      </c>
      <c r="T28" s="157" t="s">
        <v>170</v>
      </c>
      <c r="U28" s="157" t="s">
        <v>171</v>
      </c>
      <c r="V28" s="157" t="s">
        <v>172</v>
      </c>
      <c r="W28" s="79" t="s">
        <v>173</v>
      </c>
      <c r="X28" s="79" t="s">
        <v>174</v>
      </c>
    </row>
    <row r="29" spans="2:24" x14ac:dyDescent="0.2">
      <c r="B29" s="218">
        <v>1</v>
      </c>
      <c r="C29" s="287" t="e">
        <f t="shared" ref="C29:C48" si="4">IF(AND(NOT(COUNTA(D29:F29)),(NOT(COUNTA(H29:K29))),(NOT(COUNTA(M29:X29)))),"",VLOOKUP($D$7,Info_County_Code,2,FALSE))</f>
        <v>#REF!</v>
      </c>
      <c r="D29" s="386" t="s">
        <v>339</v>
      </c>
      <c r="E29" s="225"/>
      <c r="F29" s="261" t="s">
        <v>153</v>
      </c>
      <c r="G29" s="263">
        <f t="shared" ref="G29:G48" si="5">SUM(H29:K29,L29)</f>
        <v>25986</v>
      </c>
      <c r="H29" s="264"/>
      <c r="I29" s="244"/>
      <c r="J29" s="244"/>
      <c r="K29" s="265"/>
      <c r="L29" s="243">
        <f>SUM(M29,N29:X29)</f>
        <v>25986</v>
      </c>
      <c r="M29" s="244">
        <v>3660</v>
      </c>
      <c r="N29" s="244">
        <v>28595</v>
      </c>
      <c r="O29" s="244"/>
      <c r="P29" s="244"/>
      <c r="Q29" s="244"/>
      <c r="R29" s="244"/>
      <c r="S29" s="244"/>
      <c r="T29" s="244"/>
      <c r="U29" s="244"/>
      <c r="V29" s="244"/>
      <c r="W29" s="244">
        <v>-6269</v>
      </c>
      <c r="X29" s="244"/>
    </row>
    <row r="30" spans="2:24" x14ac:dyDescent="0.2">
      <c r="B30" s="218">
        <v>2</v>
      </c>
      <c r="C30" s="287" t="e">
        <f t="shared" si="4"/>
        <v>#REF!</v>
      </c>
      <c r="D30" s="261"/>
      <c r="E30" s="261"/>
      <c r="F30" s="261" t="s">
        <v>153</v>
      </c>
      <c r="G30" s="263">
        <f t="shared" si="5"/>
        <v>0</v>
      </c>
      <c r="H30" s="247"/>
      <c r="I30" s="241"/>
      <c r="J30" s="241"/>
      <c r="K30" s="242"/>
      <c r="L30" s="243">
        <f t="shared" ref="L30:L48" si="6">SUM(M30,N30:X30)</f>
        <v>0</v>
      </c>
      <c r="M30" s="241"/>
      <c r="N30" s="241"/>
      <c r="O30" s="241"/>
      <c r="P30" s="241"/>
      <c r="Q30" s="241"/>
      <c r="R30" s="241"/>
      <c r="S30" s="241"/>
      <c r="T30" s="241"/>
      <c r="U30" s="241"/>
      <c r="V30" s="241"/>
      <c r="W30" s="241"/>
      <c r="X30" s="241"/>
    </row>
    <row r="31" spans="2:24" x14ac:dyDescent="0.2">
      <c r="B31" s="218">
        <v>3</v>
      </c>
      <c r="C31" s="287" t="str">
        <f t="shared" si="4"/>
        <v/>
      </c>
      <c r="D31" s="261"/>
      <c r="E31" s="261"/>
      <c r="F31" s="261"/>
      <c r="G31" s="263">
        <f t="shared" si="5"/>
        <v>0</v>
      </c>
      <c r="H31" s="247"/>
      <c r="I31" s="241"/>
      <c r="J31" s="241"/>
      <c r="K31" s="242"/>
      <c r="L31" s="243">
        <f t="shared" si="6"/>
        <v>0</v>
      </c>
      <c r="M31" s="241"/>
      <c r="N31" s="241"/>
      <c r="O31" s="241"/>
      <c r="P31" s="241"/>
      <c r="Q31" s="241"/>
      <c r="R31" s="241"/>
      <c r="S31" s="241"/>
      <c r="T31" s="241"/>
      <c r="U31" s="241"/>
      <c r="V31" s="241"/>
      <c r="W31" s="241"/>
      <c r="X31" s="241"/>
    </row>
    <row r="32" spans="2:24" x14ac:dyDescent="0.2">
      <c r="B32" s="218">
        <v>4</v>
      </c>
      <c r="C32" s="287" t="str">
        <f t="shared" si="4"/>
        <v/>
      </c>
      <c r="D32" s="261"/>
      <c r="E32" s="261"/>
      <c r="F32" s="261"/>
      <c r="G32" s="263">
        <f t="shared" si="5"/>
        <v>0</v>
      </c>
      <c r="H32" s="247"/>
      <c r="I32" s="241"/>
      <c r="J32" s="241"/>
      <c r="K32" s="242"/>
      <c r="L32" s="243">
        <f t="shared" si="6"/>
        <v>0</v>
      </c>
      <c r="M32" s="241"/>
      <c r="N32" s="241"/>
      <c r="O32" s="241"/>
      <c r="P32" s="241"/>
      <c r="Q32" s="241"/>
      <c r="R32" s="241"/>
      <c r="S32" s="241"/>
      <c r="T32" s="241"/>
      <c r="U32" s="241"/>
      <c r="V32" s="241"/>
      <c r="W32" s="241"/>
      <c r="X32" s="241"/>
    </row>
    <row r="33" spans="2:24" x14ac:dyDescent="0.2">
      <c r="B33" s="218">
        <v>5</v>
      </c>
      <c r="C33" s="287" t="str">
        <f t="shared" si="4"/>
        <v/>
      </c>
      <c r="D33" s="261"/>
      <c r="E33" s="261"/>
      <c r="F33" s="261"/>
      <c r="G33" s="263">
        <f t="shared" si="5"/>
        <v>0</v>
      </c>
      <c r="H33" s="247"/>
      <c r="I33" s="241"/>
      <c r="J33" s="241"/>
      <c r="K33" s="242"/>
      <c r="L33" s="243">
        <f t="shared" si="6"/>
        <v>0</v>
      </c>
      <c r="M33" s="241"/>
      <c r="N33" s="241"/>
      <c r="O33" s="241"/>
      <c r="P33" s="241"/>
      <c r="Q33" s="241"/>
      <c r="R33" s="241"/>
      <c r="S33" s="241"/>
      <c r="T33" s="241"/>
      <c r="U33" s="241"/>
      <c r="V33" s="241"/>
      <c r="W33" s="241"/>
      <c r="X33" s="241"/>
    </row>
    <row r="34" spans="2:24" x14ac:dyDescent="0.2">
      <c r="B34" s="218">
        <v>6</v>
      </c>
      <c r="C34" s="287" t="str">
        <f t="shared" si="4"/>
        <v/>
      </c>
      <c r="D34" s="261"/>
      <c r="E34" s="261"/>
      <c r="F34" s="261"/>
      <c r="G34" s="263">
        <f t="shared" si="5"/>
        <v>0</v>
      </c>
      <c r="H34" s="247"/>
      <c r="I34" s="241"/>
      <c r="J34" s="241"/>
      <c r="K34" s="242"/>
      <c r="L34" s="243">
        <f t="shared" si="6"/>
        <v>0</v>
      </c>
      <c r="M34" s="241"/>
      <c r="N34" s="241"/>
      <c r="O34" s="241"/>
      <c r="P34" s="241"/>
      <c r="Q34" s="241"/>
      <c r="R34" s="241"/>
      <c r="S34" s="241"/>
      <c r="T34" s="241"/>
      <c r="U34" s="241"/>
      <c r="V34" s="241"/>
      <c r="W34" s="241"/>
      <c r="X34" s="241"/>
    </row>
    <row r="35" spans="2:24" x14ac:dyDescent="0.2">
      <c r="B35" s="218">
        <v>7</v>
      </c>
      <c r="C35" s="287" t="str">
        <f t="shared" si="4"/>
        <v/>
      </c>
      <c r="D35" s="261"/>
      <c r="E35" s="261"/>
      <c r="F35" s="261"/>
      <c r="G35" s="263">
        <f t="shared" si="5"/>
        <v>0</v>
      </c>
      <c r="H35" s="247"/>
      <c r="I35" s="241"/>
      <c r="J35" s="241"/>
      <c r="K35" s="242"/>
      <c r="L35" s="243">
        <f t="shared" si="6"/>
        <v>0</v>
      </c>
      <c r="M35" s="241"/>
      <c r="N35" s="241"/>
      <c r="O35" s="241"/>
      <c r="P35" s="241"/>
      <c r="Q35" s="241"/>
      <c r="R35" s="241"/>
      <c r="S35" s="241"/>
      <c r="T35" s="241"/>
      <c r="U35" s="241"/>
      <c r="V35" s="241"/>
      <c r="W35" s="241"/>
      <c r="X35" s="241"/>
    </row>
    <row r="36" spans="2:24" x14ac:dyDescent="0.2">
      <c r="B36" s="218">
        <v>8</v>
      </c>
      <c r="C36" s="287" t="str">
        <f t="shared" si="4"/>
        <v/>
      </c>
      <c r="D36" s="225"/>
      <c r="E36" s="225"/>
      <c r="F36" s="261"/>
      <c r="G36" s="263">
        <f t="shared" si="5"/>
        <v>0</v>
      </c>
      <c r="H36" s="247"/>
      <c r="I36" s="241"/>
      <c r="J36" s="241"/>
      <c r="K36" s="242"/>
      <c r="L36" s="243">
        <f t="shared" si="6"/>
        <v>0</v>
      </c>
      <c r="M36" s="241"/>
      <c r="N36" s="241"/>
      <c r="O36" s="241"/>
      <c r="P36" s="241"/>
      <c r="Q36" s="241"/>
      <c r="R36" s="241"/>
      <c r="S36" s="241"/>
      <c r="T36" s="241"/>
      <c r="U36" s="241"/>
      <c r="V36" s="241"/>
      <c r="W36" s="241"/>
      <c r="X36" s="241"/>
    </row>
    <row r="37" spans="2:24" x14ac:dyDescent="0.2">
      <c r="B37" s="218">
        <v>9</v>
      </c>
      <c r="C37" s="287" t="str">
        <f t="shared" si="4"/>
        <v/>
      </c>
      <c r="D37" s="225"/>
      <c r="E37" s="225"/>
      <c r="F37" s="261"/>
      <c r="G37" s="263">
        <f t="shared" si="5"/>
        <v>0</v>
      </c>
      <c r="H37" s="247"/>
      <c r="I37" s="241"/>
      <c r="J37" s="241"/>
      <c r="K37" s="242"/>
      <c r="L37" s="243">
        <f t="shared" si="6"/>
        <v>0</v>
      </c>
      <c r="M37" s="241"/>
      <c r="N37" s="241"/>
      <c r="O37" s="241"/>
      <c r="P37" s="241"/>
      <c r="Q37" s="241"/>
      <c r="R37" s="241"/>
      <c r="S37" s="241"/>
      <c r="T37" s="241"/>
      <c r="U37" s="241"/>
      <c r="V37" s="241"/>
      <c r="W37" s="241"/>
      <c r="X37" s="241"/>
    </row>
    <row r="38" spans="2:24" x14ac:dyDescent="0.2">
      <c r="B38" s="218">
        <v>10</v>
      </c>
      <c r="C38" s="287" t="str">
        <f t="shared" si="4"/>
        <v/>
      </c>
      <c r="D38" s="225"/>
      <c r="E38" s="225"/>
      <c r="F38" s="261"/>
      <c r="G38" s="263">
        <f t="shared" si="5"/>
        <v>0</v>
      </c>
      <c r="H38" s="247"/>
      <c r="I38" s="241"/>
      <c r="J38" s="241"/>
      <c r="K38" s="242"/>
      <c r="L38" s="243">
        <f t="shared" si="6"/>
        <v>0</v>
      </c>
      <c r="M38" s="241"/>
      <c r="N38" s="241"/>
      <c r="O38" s="241"/>
      <c r="P38" s="241"/>
      <c r="Q38" s="241"/>
      <c r="R38" s="241"/>
      <c r="S38" s="241"/>
      <c r="T38" s="241"/>
      <c r="U38" s="241"/>
      <c r="V38" s="241"/>
      <c r="W38" s="241"/>
      <c r="X38" s="241"/>
    </row>
    <row r="39" spans="2:24" x14ac:dyDescent="0.2">
      <c r="B39" s="218">
        <v>11</v>
      </c>
      <c r="C39" s="287" t="str">
        <f t="shared" si="4"/>
        <v/>
      </c>
      <c r="D39" s="225"/>
      <c r="E39" s="225"/>
      <c r="F39" s="261"/>
      <c r="G39" s="263">
        <f t="shared" si="5"/>
        <v>0</v>
      </c>
      <c r="H39" s="247"/>
      <c r="I39" s="241"/>
      <c r="J39" s="241"/>
      <c r="K39" s="242"/>
      <c r="L39" s="243">
        <f t="shared" si="6"/>
        <v>0</v>
      </c>
      <c r="M39" s="241"/>
      <c r="N39" s="241"/>
      <c r="O39" s="241"/>
      <c r="P39" s="241"/>
      <c r="Q39" s="241"/>
      <c r="R39" s="241"/>
      <c r="S39" s="241"/>
      <c r="T39" s="241"/>
      <c r="U39" s="241"/>
      <c r="V39" s="241"/>
      <c r="W39" s="241"/>
      <c r="X39" s="241"/>
    </row>
    <row r="40" spans="2:24" x14ac:dyDescent="0.2">
      <c r="B40" s="218">
        <v>12</v>
      </c>
      <c r="C40" s="287" t="str">
        <f t="shared" si="4"/>
        <v/>
      </c>
      <c r="D40" s="225"/>
      <c r="E40" s="225"/>
      <c r="F40" s="261"/>
      <c r="G40" s="263">
        <f t="shared" si="5"/>
        <v>0</v>
      </c>
      <c r="H40" s="247"/>
      <c r="I40" s="241"/>
      <c r="J40" s="241"/>
      <c r="K40" s="242"/>
      <c r="L40" s="243">
        <f t="shared" si="6"/>
        <v>0</v>
      </c>
      <c r="M40" s="241"/>
      <c r="N40" s="241"/>
      <c r="O40" s="241"/>
      <c r="P40" s="241"/>
      <c r="Q40" s="241"/>
      <c r="R40" s="241"/>
      <c r="S40" s="241"/>
      <c r="T40" s="241"/>
      <c r="U40" s="241"/>
      <c r="V40" s="241"/>
      <c r="W40" s="241"/>
      <c r="X40" s="241"/>
    </row>
    <row r="41" spans="2:24" x14ac:dyDescent="0.2">
      <c r="B41" s="218">
        <v>13</v>
      </c>
      <c r="C41" s="287" t="str">
        <f t="shared" si="4"/>
        <v/>
      </c>
      <c r="D41" s="225"/>
      <c r="E41" s="225"/>
      <c r="F41" s="261"/>
      <c r="G41" s="263">
        <f t="shared" si="5"/>
        <v>0</v>
      </c>
      <c r="H41" s="247"/>
      <c r="I41" s="241"/>
      <c r="J41" s="241"/>
      <c r="K41" s="242"/>
      <c r="L41" s="243">
        <f t="shared" si="6"/>
        <v>0</v>
      </c>
      <c r="M41" s="241"/>
      <c r="N41" s="241"/>
      <c r="O41" s="241"/>
      <c r="P41" s="241"/>
      <c r="Q41" s="241"/>
      <c r="R41" s="241"/>
      <c r="S41" s="241"/>
      <c r="T41" s="241"/>
      <c r="U41" s="241"/>
      <c r="V41" s="241"/>
      <c r="W41" s="241"/>
      <c r="X41" s="241"/>
    </row>
    <row r="42" spans="2:24" x14ac:dyDescent="0.2">
      <c r="B42" s="218">
        <v>14</v>
      </c>
      <c r="C42" s="287" t="str">
        <f t="shared" si="4"/>
        <v/>
      </c>
      <c r="D42" s="225"/>
      <c r="E42" s="225"/>
      <c r="F42" s="261"/>
      <c r="G42" s="263">
        <f t="shared" si="5"/>
        <v>0</v>
      </c>
      <c r="H42" s="247"/>
      <c r="I42" s="241"/>
      <c r="J42" s="241"/>
      <c r="K42" s="242"/>
      <c r="L42" s="243">
        <f t="shared" si="6"/>
        <v>0</v>
      </c>
      <c r="M42" s="241"/>
      <c r="N42" s="241"/>
      <c r="O42" s="241"/>
      <c r="P42" s="241"/>
      <c r="Q42" s="241"/>
      <c r="R42" s="241"/>
      <c r="S42" s="241"/>
      <c r="T42" s="241"/>
      <c r="U42" s="241"/>
      <c r="V42" s="241"/>
      <c r="W42" s="241"/>
      <c r="X42" s="241"/>
    </row>
    <row r="43" spans="2:24" x14ac:dyDescent="0.2">
      <c r="B43" s="218">
        <v>15</v>
      </c>
      <c r="C43" s="287" t="str">
        <f t="shared" si="4"/>
        <v/>
      </c>
      <c r="D43" s="225"/>
      <c r="E43" s="225"/>
      <c r="F43" s="261"/>
      <c r="G43" s="263">
        <f t="shared" si="5"/>
        <v>0</v>
      </c>
      <c r="H43" s="247"/>
      <c r="I43" s="241"/>
      <c r="J43" s="241"/>
      <c r="K43" s="242"/>
      <c r="L43" s="243">
        <f t="shared" si="6"/>
        <v>0</v>
      </c>
      <c r="M43" s="241"/>
      <c r="N43" s="241"/>
      <c r="O43" s="241"/>
      <c r="P43" s="241"/>
      <c r="Q43" s="241"/>
      <c r="R43" s="241"/>
      <c r="S43" s="241"/>
      <c r="T43" s="241"/>
      <c r="U43" s="241"/>
      <c r="V43" s="241"/>
      <c r="W43" s="241"/>
      <c r="X43" s="241"/>
    </row>
    <row r="44" spans="2:24" x14ac:dyDescent="0.2">
      <c r="B44" s="218">
        <v>16</v>
      </c>
      <c r="C44" s="287" t="str">
        <f t="shared" si="4"/>
        <v/>
      </c>
      <c r="D44" s="225"/>
      <c r="E44" s="225"/>
      <c r="F44" s="261"/>
      <c r="G44" s="263">
        <f t="shared" si="5"/>
        <v>0</v>
      </c>
      <c r="H44" s="247"/>
      <c r="I44" s="241"/>
      <c r="J44" s="241"/>
      <c r="K44" s="242"/>
      <c r="L44" s="243">
        <f t="shared" si="6"/>
        <v>0</v>
      </c>
      <c r="M44" s="241"/>
      <c r="N44" s="241"/>
      <c r="O44" s="241"/>
      <c r="P44" s="241"/>
      <c r="Q44" s="241"/>
      <c r="R44" s="241"/>
      <c r="S44" s="241"/>
      <c r="T44" s="241"/>
      <c r="U44" s="241"/>
      <c r="V44" s="241"/>
      <c r="W44" s="241"/>
      <c r="X44" s="241"/>
    </row>
    <row r="45" spans="2:24" x14ac:dyDescent="0.2">
      <c r="B45" s="218">
        <v>17</v>
      </c>
      <c r="C45" s="287" t="str">
        <f t="shared" si="4"/>
        <v/>
      </c>
      <c r="D45" s="225"/>
      <c r="E45" s="225"/>
      <c r="F45" s="261"/>
      <c r="G45" s="263">
        <f t="shared" si="5"/>
        <v>0</v>
      </c>
      <c r="H45" s="247"/>
      <c r="I45" s="241"/>
      <c r="J45" s="241"/>
      <c r="K45" s="242"/>
      <c r="L45" s="243">
        <f t="shared" si="6"/>
        <v>0</v>
      </c>
      <c r="M45" s="241"/>
      <c r="N45" s="241"/>
      <c r="O45" s="241"/>
      <c r="P45" s="241"/>
      <c r="Q45" s="241"/>
      <c r="R45" s="241"/>
      <c r="S45" s="241"/>
      <c r="T45" s="241"/>
      <c r="U45" s="241"/>
      <c r="V45" s="241"/>
      <c r="W45" s="241"/>
      <c r="X45" s="241"/>
    </row>
    <row r="46" spans="2:24" x14ac:dyDescent="0.2">
      <c r="B46" s="218">
        <v>18</v>
      </c>
      <c r="C46" s="287" t="str">
        <f t="shared" si="4"/>
        <v/>
      </c>
      <c r="D46" s="225"/>
      <c r="E46" s="225"/>
      <c r="F46" s="261"/>
      <c r="G46" s="263">
        <f t="shared" si="5"/>
        <v>0</v>
      </c>
      <c r="H46" s="247"/>
      <c r="I46" s="241"/>
      <c r="J46" s="241"/>
      <c r="K46" s="242"/>
      <c r="L46" s="243">
        <f t="shared" si="6"/>
        <v>0</v>
      </c>
      <c r="M46" s="241"/>
      <c r="N46" s="241"/>
      <c r="O46" s="241"/>
      <c r="P46" s="241"/>
      <c r="Q46" s="241"/>
      <c r="R46" s="241"/>
      <c r="S46" s="241"/>
      <c r="T46" s="241"/>
      <c r="U46" s="241"/>
      <c r="V46" s="241"/>
      <c r="W46" s="241"/>
      <c r="X46" s="241"/>
    </row>
    <row r="47" spans="2:24" x14ac:dyDescent="0.2">
      <c r="B47" s="218">
        <v>19</v>
      </c>
      <c r="C47" s="287" t="str">
        <f t="shared" si="4"/>
        <v/>
      </c>
      <c r="D47" s="225"/>
      <c r="E47" s="225"/>
      <c r="F47" s="261"/>
      <c r="G47" s="263">
        <f t="shared" si="5"/>
        <v>0</v>
      </c>
      <c r="H47" s="247"/>
      <c r="I47" s="241"/>
      <c r="J47" s="241"/>
      <c r="K47" s="242"/>
      <c r="L47" s="243">
        <f t="shared" si="6"/>
        <v>0</v>
      </c>
      <c r="M47" s="241"/>
      <c r="N47" s="241"/>
      <c r="O47" s="241"/>
      <c r="P47" s="241"/>
      <c r="Q47" s="241"/>
      <c r="R47" s="241"/>
      <c r="S47" s="241"/>
      <c r="T47" s="241"/>
      <c r="U47" s="241"/>
      <c r="V47" s="241"/>
      <c r="W47" s="241"/>
      <c r="X47" s="241"/>
    </row>
    <row r="48" spans="2:24" x14ac:dyDescent="0.2">
      <c r="B48" s="218">
        <v>20</v>
      </c>
      <c r="C48" s="287" t="str">
        <f t="shared" si="4"/>
        <v/>
      </c>
      <c r="D48" s="225"/>
      <c r="E48" s="225"/>
      <c r="F48" s="261"/>
      <c r="G48" s="263">
        <f t="shared" si="5"/>
        <v>0</v>
      </c>
      <c r="H48" s="247"/>
      <c r="I48" s="241"/>
      <c r="J48" s="241"/>
      <c r="K48" s="242"/>
      <c r="L48" s="243">
        <f t="shared" si="6"/>
        <v>0</v>
      </c>
      <c r="M48" s="241"/>
      <c r="N48" s="241"/>
      <c r="O48" s="241"/>
      <c r="P48" s="241"/>
      <c r="Q48" s="241"/>
      <c r="R48" s="241"/>
      <c r="S48" s="241"/>
      <c r="T48" s="241"/>
      <c r="U48" s="241"/>
      <c r="V48" s="241"/>
      <c r="W48" s="241"/>
      <c r="X48" s="241"/>
    </row>
  </sheetData>
  <sheetProtection sheet="1" objects="1" scenarios="1" formatColumns="0" formatRows="0" selectLockedCells="1"/>
  <mergeCells count="15">
    <mergeCell ref="G12:J12"/>
    <mergeCell ref="B1:D1"/>
    <mergeCell ref="K12:W12"/>
    <mergeCell ref="H27:K27"/>
    <mergeCell ref="L27:X27"/>
    <mergeCell ref="C14:E14"/>
    <mergeCell ref="C16:E16"/>
    <mergeCell ref="C17:E17"/>
    <mergeCell ref="C18:E18"/>
    <mergeCell ref="C21:E21"/>
    <mergeCell ref="C20:E20"/>
    <mergeCell ref="C15:E15"/>
    <mergeCell ref="C27:G27"/>
    <mergeCell ref="C19:E19"/>
    <mergeCell ref="C22:E22"/>
  </mergeCells>
  <dataValidations count="1">
    <dataValidation type="list" allowBlank="1" showInputMessage="1" showErrorMessage="1" sqref="F29:F48" xr:uid="{00000000-0002-0000-0800-000000000000}">
      <formula1>CFTN_Project_Type</formula1>
    </dataValidation>
  </dataValidations>
  <hyperlinks>
    <hyperlink ref="B1" location="'2. Summary'!A1" display="Back to Summary" xr:uid="{00000000-0004-0000-0800-000000000000}"/>
    <hyperlink ref="B1:D1" location="'2. Component Summary'!A1" display="Back to Summary" xr:uid="{00000000-0004-0000-0800-000001000000}"/>
  </hyperlinks>
  <pageMargins left="0.25" right="0.25" top="0.75" bottom="0.75" header="0.3" footer="0.3"/>
  <pageSetup paperSize="17" scale="50" fitToWidth="0" fitToHeight="0" orientation="landscape" r:id="rId1"/>
  <headerFooter>
    <oddHeader xml:space="preserve">&amp;C&amp;"Arial,Regular"&amp;16Annual Mental Health Services Act Revenue and Expenditure Report for                  
Fiscal Year 2016-17     
Capital Facility Technological Needs (CFTN) Summary     
</oddHeader>
    <oddFooter>&amp;C&amp;"Arial,Regular"&amp;16Page &amp;P of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pageSetUpPr autoPageBreaks="0" fitToPage="1"/>
  </sheetPr>
  <dimension ref="A1:AA17"/>
  <sheetViews>
    <sheetView showGridLines="0" zoomScale="60" zoomScaleNormal="60" workbookViewId="0">
      <selection activeCell="K15" sqref="K15"/>
    </sheetView>
  </sheetViews>
  <sheetFormatPr defaultColWidth="0" defaultRowHeight="15" zeroHeight="1" x14ac:dyDescent="0.2"/>
  <cols>
    <col min="1" max="1" width="2.7109375" style="226" customWidth="1"/>
    <col min="2" max="2" width="5.7109375" style="226" customWidth="1"/>
    <col min="3" max="3" width="9.42578125" style="226" bestFit="1" customWidth="1"/>
    <col min="4" max="4" width="67" style="226" bestFit="1" customWidth="1"/>
    <col min="5" max="5" width="17.140625" style="226" bestFit="1" customWidth="1"/>
    <col min="6" max="6" width="17" style="226" customWidth="1"/>
    <col min="7" max="7" width="16.140625" style="226" bestFit="1" customWidth="1"/>
    <col min="8" max="8" width="22.7109375" style="226" bestFit="1" customWidth="1"/>
    <col min="9" max="9" width="18.5703125" style="226" bestFit="1" customWidth="1"/>
    <col min="10" max="10" width="22.28515625" style="226" bestFit="1" customWidth="1"/>
    <col min="11" max="11" width="18.28515625" style="226" bestFit="1" customWidth="1"/>
    <col min="12" max="22" width="19.42578125" style="226" customWidth="1"/>
    <col min="23" max="25" width="23.7109375" style="226" hidden="1" customWidth="1"/>
    <col min="26" max="26" width="21.28515625" style="226" hidden="1" customWidth="1"/>
    <col min="27" max="27" width="22.140625" style="226" hidden="1" customWidth="1"/>
    <col min="28" max="16384" width="9.140625" style="226" hidden="1"/>
  </cols>
  <sheetData>
    <row r="1" spans="2:25" x14ac:dyDescent="0.2">
      <c r="B1" s="406" t="s">
        <v>229</v>
      </c>
      <c r="C1" s="406"/>
      <c r="D1" s="406"/>
    </row>
    <row r="2" spans="2:25" x14ac:dyDescent="0.2">
      <c r="B2" s="208"/>
      <c r="C2" s="208"/>
      <c r="D2" s="208"/>
    </row>
    <row r="3" spans="2:25" ht="20.25" customHeight="1" x14ac:dyDescent="0.2">
      <c r="B3" s="340" t="s">
        <v>271</v>
      </c>
      <c r="C3" s="189"/>
      <c r="D3" s="189"/>
      <c r="E3" s="189"/>
      <c r="F3" s="189"/>
      <c r="G3" s="189"/>
      <c r="H3" s="189"/>
    </row>
    <row r="4" spans="2:25" ht="18" x14ac:dyDescent="0.2">
      <c r="B4" s="340" t="s">
        <v>0</v>
      </c>
      <c r="C4" s="1"/>
      <c r="D4" s="1"/>
      <c r="E4" s="1"/>
      <c r="F4" s="1"/>
      <c r="G4" s="1"/>
      <c r="H4" s="1"/>
    </row>
    <row r="5" spans="2:25" ht="18" x14ac:dyDescent="0.2">
      <c r="B5" s="340" t="s">
        <v>272</v>
      </c>
      <c r="C5" s="1"/>
      <c r="D5" s="1"/>
      <c r="E5" s="1"/>
      <c r="F5" s="1"/>
      <c r="G5" s="1"/>
      <c r="H5" s="1"/>
    </row>
    <row r="6" spans="2:25" ht="15.75" x14ac:dyDescent="0.2">
      <c r="D6" s="166"/>
      <c r="E6" s="166"/>
      <c r="F6" s="166"/>
      <c r="G6" s="166"/>
      <c r="H6" s="166"/>
    </row>
    <row r="7" spans="2:25" ht="15.75" x14ac:dyDescent="0.25">
      <c r="B7" s="397" t="s">
        <v>2</v>
      </c>
      <c r="C7" s="397"/>
      <c r="D7" s="54" t="str">
        <f>IF(ISBLANK('1. Information'!D6),"",'1. Information'!D6)</f>
        <v>Shasta</v>
      </c>
      <c r="F7" s="204" t="s">
        <v>3</v>
      </c>
      <c r="G7" s="227">
        <f ca="1">IF(ISBLANK('1. Information'!D5),"",'1. Information'!D5)</f>
        <v>44144.476150462964</v>
      </c>
    </row>
    <row r="8" spans="2:25" ht="15.75" x14ac:dyDescent="0.25">
      <c r="B8" s="15"/>
      <c r="C8" s="15"/>
      <c r="D8" s="15"/>
      <c r="G8" s="15"/>
      <c r="H8" s="310"/>
    </row>
    <row r="9" spans="2:25" ht="18.75" thickBot="1" x14ac:dyDescent="0.3">
      <c r="B9" s="341" t="s">
        <v>280</v>
      </c>
      <c r="C9" s="105"/>
      <c r="D9" s="105"/>
      <c r="E9" s="230"/>
      <c r="F9" s="230"/>
      <c r="G9" s="105"/>
      <c r="H9" s="311"/>
      <c r="I9" s="230"/>
      <c r="J9" s="230"/>
      <c r="K9" s="230"/>
      <c r="L9" s="230"/>
      <c r="M9" s="230"/>
      <c r="N9" s="230"/>
      <c r="O9" s="230"/>
      <c r="P9" s="230"/>
      <c r="Q9" s="230"/>
      <c r="R9" s="230"/>
      <c r="S9" s="230"/>
      <c r="T9" s="230"/>
      <c r="U9" s="230"/>
      <c r="V9" s="230"/>
    </row>
    <row r="10" spans="2:25" ht="16.5" thickTop="1" x14ac:dyDescent="0.25">
      <c r="B10" s="15"/>
      <c r="C10" s="15"/>
      <c r="D10" s="15"/>
      <c r="G10" s="15"/>
      <c r="H10" s="310"/>
    </row>
    <row r="11" spans="2:25" ht="15.75" x14ac:dyDescent="0.25">
      <c r="B11" s="15"/>
      <c r="C11" s="72" t="s">
        <v>59</v>
      </c>
      <c r="D11" s="72" t="s">
        <v>61</v>
      </c>
      <c r="E11" s="312" t="s">
        <v>65</v>
      </c>
      <c r="F11" s="257" t="s">
        <v>245</v>
      </c>
      <c r="G11" s="218" t="s">
        <v>246</v>
      </c>
      <c r="H11" s="218" t="s">
        <v>247</v>
      </c>
      <c r="I11" s="233" t="s">
        <v>256</v>
      </c>
      <c r="J11" s="257" t="s">
        <v>248</v>
      </c>
      <c r="K11" s="218" t="s">
        <v>249</v>
      </c>
      <c r="L11" s="218" t="s">
        <v>250</v>
      </c>
      <c r="M11" s="218" t="s">
        <v>251</v>
      </c>
      <c r="N11" s="218" t="s">
        <v>252</v>
      </c>
      <c r="O11" s="218" t="s">
        <v>253</v>
      </c>
      <c r="P11" s="218" t="s">
        <v>254</v>
      </c>
      <c r="Q11" s="218" t="s">
        <v>255</v>
      </c>
      <c r="R11" s="218" t="s">
        <v>257</v>
      </c>
      <c r="S11" s="218" t="s">
        <v>259</v>
      </c>
      <c r="T11" s="218" t="s">
        <v>260</v>
      </c>
      <c r="U11" s="218" t="s">
        <v>261</v>
      </c>
      <c r="V11" s="218" t="s">
        <v>262</v>
      </c>
    </row>
    <row r="12" spans="2:25" ht="15.75" x14ac:dyDescent="0.25">
      <c r="B12" s="74"/>
      <c r="C12" s="412" t="s">
        <v>217</v>
      </c>
      <c r="D12" s="412"/>
      <c r="E12" s="445"/>
      <c r="F12" s="408" t="s">
        <v>62</v>
      </c>
      <c r="G12" s="409"/>
      <c r="H12" s="409"/>
      <c r="I12" s="410"/>
      <c r="J12" s="411" t="s">
        <v>60</v>
      </c>
      <c r="K12" s="412"/>
      <c r="L12" s="412"/>
      <c r="M12" s="412"/>
      <c r="N12" s="412"/>
      <c r="O12" s="412"/>
      <c r="P12" s="412"/>
      <c r="Q12" s="412"/>
      <c r="R12" s="412"/>
      <c r="S12" s="412"/>
      <c r="T12" s="412"/>
      <c r="U12" s="412"/>
      <c r="V12" s="412"/>
      <c r="W12" s="74"/>
      <c r="X12" s="74"/>
      <c r="Y12" s="74"/>
    </row>
    <row r="13" spans="2:25" ht="80.25" customHeight="1" x14ac:dyDescent="0.2">
      <c r="B13" s="175" t="s">
        <v>112</v>
      </c>
      <c r="C13" s="179" t="s">
        <v>188</v>
      </c>
      <c r="D13" s="68" t="s">
        <v>104</v>
      </c>
      <c r="E13" s="190" t="s">
        <v>105</v>
      </c>
      <c r="F13" s="159" t="s">
        <v>7</v>
      </c>
      <c r="G13" s="157" t="s">
        <v>8</v>
      </c>
      <c r="H13" s="157" t="s">
        <v>9</v>
      </c>
      <c r="I13" s="160" t="s">
        <v>10</v>
      </c>
      <c r="J13" s="161" t="s">
        <v>286</v>
      </c>
      <c r="K13" s="157" t="s">
        <v>190</v>
      </c>
      <c r="L13" s="157" t="s">
        <v>287</v>
      </c>
      <c r="M13" s="157" t="s">
        <v>288</v>
      </c>
      <c r="N13" s="157" t="s">
        <v>289</v>
      </c>
      <c r="O13" s="157" t="s">
        <v>290</v>
      </c>
      <c r="P13" s="157" t="s">
        <v>291</v>
      </c>
      <c r="Q13" s="157" t="s">
        <v>292</v>
      </c>
      <c r="R13" s="157" t="s">
        <v>293</v>
      </c>
      <c r="S13" s="157" t="s">
        <v>294</v>
      </c>
      <c r="T13" s="157" t="s">
        <v>295</v>
      </c>
      <c r="U13" s="144" t="s">
        <v>296</v>
      </c>
      <c r="V13" s="144" t="s">
        <v>297</v>
      </c>
    </row>
    <row r="14" spans="2:25" x14ac:dyDescent="0.2">
      <c r="B14" s="218">
        <v>1</v>
      </c>
      <c r="C14" s="313" t="str">
        <f>IF(AND(NOT(COUNTA(F14:I14)),(NOT(COUNTA(L14:V14)))),"",VLOOKUP($D$7,Info_County_Code,2,FALSE))</f>
        <v/>
      </c>
      <c r="D14" s="191" t="s">
        <v>92</v>
      </c>
      <c r="E14" s="239">
        <f>SUM(F14:I14,J14)</f>
        <v>0</v>
      </c>
      <c r="F14" s="247"/>
      <c r="G14" s="241"/>
      <c r="H14" s="241"/>
      <c r="I14" s="242"/>
      <c r="J14" s="243">
        <f>SUM(K14,L14:V14)</f>
        <v>0</v>
      </c>
      <c r="K14" s="275">
        <v>0</v>
      </c>
      <c r="L14" s="274"/>
      <c r="M14" s="274"/>
      <c r="N14" s="274"/>
      <c r="O14" s="274"/>
      <c r="P14" s="274"/>
      <c r="Q14" s="247"/>
      <c r="R14" s="241"/>
      <c r="S14" s="241"/>
      <c r="T14" s="241"/>
      <c r="U14" s="314"/>
      <c r="V14" s="315"/>
    </row>
    <row r="15" spans="2:25" x14ac:dyDescent="0.2">
      <c r="B15" s="218">
        <v>2</v>
      </c>
      <c r="C15" s="313" t="str">
        <f>IF(AND(NOT(COUNTA(F15:I15)),(NOT(COUNTA(L15:V15)))),"",VLOOKUP($D$7,Info_County_Code,2,FALSE))</f>
        <v/>
      </c>
      <c r="D15" s="191" t="s">
        <v>91</v>
      </c>
      <c r="E15" s="239">
        <f>SUM(F15:I15,J15)</f>
        <v>0</v>
      </c>
      <c r="F15" s="247"/>
      <c r="G15" s="241"/>
      <c r="H15" s="241"/>
      <c r="I15" s="242"/>
      <c r="J15" s="243">
        <f>SUM(K15,L15:V15)</f>
        <v>0</v>
      </c>
      <c r="K15" s="241"/>
      <c r="L15" s="241"/>
      <c r="M15" s="241"/>
      <c r="N15" s="241"/>
      <c r="O15" s="241"/>
      <c r="P15" s="241"/>
      <c r="Q15" s="241"/>
      <c r="R15" s="241"/>
      <c r="S15" s="241"/>
      <c r="T15" s="241"/>
      <c r="U15" s="314"/>
      <c r="V15" s="315"/>
    </row>
    <row r="16" spans="2:25" x14ac:dyDescent="0.2">
      <c r="B16" s="218">
        <v>3</v>
      </c>
      <c r="C16" s="313" t="str">
        <f>IF(AND(NOT(COUNTA(F16:I16)),(NOT(COUNTA(L16:V16)))),"",VLOOKUP($D$7,Info_County_Code,2,FALSE))</f>
        <v/>
      </c>
      <c r="D16" s="191" t="s">
        <v>93</v>
      </c>
      <c r="E16" s="239">
        <f>SUM(F16:I16,J16)</f>
        <v>0</v>
      </c>
      <c r="F16" s="247"/>
      <c r="G16" s="241"/>
      <c r="H16" s="241"/>
      <c r="I16" s="242"/>
      <c r="J16" s="243">
        <f>SUM(K16,L16:V16)</f>
        <v>0</v>
      </c>
      <c r="K16" s="241"/>
      <c r="L16" s="241"/>
      <c r="M16" s="241"/>
      <c r="N16" s="241"/>
      <c r="O16" s="316"/>
      <c r="P16" s="317"/>
      <c r="Q16" s="317"/>
      <c r="R16" s="317"/>
      <c r="S16" s="317"/>
      <c r="T16" s="317"/>
      <c r="U16" s="315"/>
      <c r="V16" s="315"/>
    </row>
    <row r="17" spans="4:7" hidden="1" x14ac:dyDescent="0.2">
      <c r="D17" s="62"/>
      <c r="E17" s="192"/>
      <c r="F17" s="192"/>
      <c r="G17" s="192"/>
    </row>
  </sheetData>
  <sheetProtection sheet="1" objects="1" scenarios="1" formatColumns="0" formatRows="0" selectLockedCells="1"/>
  <mergeCells count="5">
    <mergeCell ref="J12:V12"/>
    <mergeCell ref="B1:D1"/>
    <mergeCell ref="B7:C7"/>
    <mergeCell ref="C12:E12"/>
    <mergeCell ref="F12:I12"/>
  </mergeCells>
  <hyperlinks>
    <hyperlink ref="B1" location="'2. Summary'!A1" display="Back to Summary" xr:uid="{00000000-0004-0000-0900-000000000000}"/>
    <hyperlink ref="B1:D1" location="'2. Component Summary'!A1" display="Back to Summary" xr:uid="{00000000-0004-0000-0900-000001000000}"/>
  </hyperlinks>
  <pageMargins left="0.25" right="0.25" top="0.75" bottom="0.75" header="0.3" footer="0.3"/>
  <pageSetup paperSize="17" scale="49" orientation="landscape" r:id="rId1"/>
  <headerFooter>
    <oddHeader xml:space="preserve">&amp;C&amp;"Arial,Regular"&amp;16Annual Mental Health Services Act Revenue and Expenditure Report for                  
Fiscal Year 2016-17     
TTACB, WET RP, HP Summary    </oddHeader>
    <oddFooter>&amp;C&amp;"Arial,Regular"&amp;16Page &amp;P of &amp;N</oddFooter>
  </headerFooter>
  <colBreaks count="1" manualBreakCount="1">
    <brk id="22" min="5" max="15"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pageSetUpPr autoPageBreaks="0"/>
  </sheetPr>
  <dimension ref="A1:N112"/>
  <sheetViews>
    <sheetView showGridLines="0" zoomScale="85" zoomScaleNormal="85" workbookViewId="0">
      <selection activeCell="F20" sqref="F20"/>
    </sheetView>
  </sheetViews>
  <sheetFormatPr defaultColWidth="0" defaultRowHeight="15" zeroHeight="1" x14ac:dyDescent="0.2"/>
  <cols>
    <col min="1" max="1" width="2.7109375" style="226" customWidth="1"/>
    <col min="2" max="2" width="6.7109375" style="226" customWidth="1"/>
    <col min="3" max="3" width="9.28515625" style="226" bestFit="1" customWidth="1"/>
    <col min="4" max="4" width="26.140625" style="226" customWidth="1"/>
    <col min="5" max="5" width="20.140625" style="226" customWidth="1"/>
    <col min="6" max="6" width="30" style="226" customWidth="1"/>
    <col min="7" max="7" width="54.28515625" style="226" customWidth="1"/>
    <col min="8" max="8" width="13.28515625" style="226" hidden="1" customWidth="1"/>
    <col min="9" max="14" width="11.7109375" style="226" hidden="1" customWidth="1"/>
    <col min="15" max="16384" width="9.140625" style="226" hidden="1"/>
  </cols>
  <sheetData>
    <row r="1" spans="2:9" x14ac:dyDescent="0.2">
      <c r="B1" s="163" t="s">
        <v>229</v>
      </c>
      <c r="C1" s="163"/>
    </row>
    <row r="2" spans="2:9" x14ac:dyDescent="0.2">
      <c r="B2" s="208"/>
      <c r="C2" s="208"/>
    </row>
    <row r="3" spans="2:9" ht="18" x14ac:dyDescent="0.2">
      <c r="B3" s="340" t="s">
        <v>271</v>
      </c>
      <c r="C3" s="1"/>
      <c r="D3" s="1"/>
      <c r="E3" s="1"/>
      <c r="F3" s="1"/>
    </row>
    <row r="4" spans="2:9" ht="18" x14ac:dyDescent="0.2">
      <c r="B4" s="340" t="s">
        <v>0</v>
      </c>
      <c r="C4" s="1"/>
      <c r="D4" s="1"/>
      <c r="E4" s="1"/>
      <c r="F4" s="1"/>
    </row>
    <row r="5" spans="2:9" ht="18" x14ac:dyDescent="0.2">
      <c r="B5" s="137" t="s">
        <v>106</v>
      </c>
      <c r="C5" s="104"/>
      <c r="D5" s="104"/>
      <c r="E5" s="104"/>
      <c r="F5" s="104"/>
    </row>
    <row r="6" spans="2:9" ht="15.75" x14ac:dyDescent="0.2">
      <c r="C6" s="206"/>
      <c r="D6" s="206"/>
      <c r="E6" s="206"/>
      <c r="F6" s="206"/>
    </row>
    <row r="7" spans="2:9" ht="15.75" x14ac:dyDescent="0.25">
      <c r="B7" s="397" t="s">
        <v>2</v>
      </c>
      <c r="C7" s="397"/>
      <c r="D7" s="54" t="str">
        <f>IF(ISBLANK('1. Information'!D6),"",'1. Information'!D6)</f>
        <v>Shasta</v>
      </c>
      <c r="E7" s="7"/>
      <c r="F7" s="210" t="s">
        <v>154</v>
      </c>
      <c r="G7" s="227">
        <f ca="1">IF(ISBLANK('1. Information'!D5),"",'1. Information'!D5)</f>
        <v>44144.476150462964</v>
      </c>
    </row>
    <row r="8" spans="2:9" ht="15.75" x14ac:dyDescent="0.25">
      <c r="B8" s="15"/>
      <c r="C8" s="15"/>
      <c r="D8" s="15"/>
      <c r="E8" s="7"/>
      <c r="F8" s="193"/>
      <c r="G8" s="229"/>
    </row>
    <row r="9" spans="2:9" ht="18.75" thickBot="1" x14ac:dyDescent="0.3">
      <c r="B9" s="341" t="s">
        <v>280</v>
      </c>
      <c r="C9" s="105"/>
      <c r="D9" s="105"/>
      <c r="E9" s="140"/>
      <c r="F9" s="194"/>
      <c r="G9" s="231"/>
    </row>
    <row r="10" spans="2:9" ht="16.5" thickTop="1" x14ac:dyDescent="0.25">
      <c r="B10" s="15"/>
      <c r="C10" s="15"/>
      <c r="D10" s="15"/>
      <c r="E10" s="7"/>
      <c r="F10" s="193"/>
      <c r="G10" s="229"/>
    </row>
    <row r="11" spans="2:9" x14ac:dyDescent="0.2">
      <c r="C11" s="195" t="s">
        <v>59</v>
      </c>
      <c r="D11" s="195" t="s">
        <v>61</v>
      </c>
      <c r="E11" s="195" t="s">
        <v>65</v>
      </c>
      <c r="F11" s="195" t="s">
        <v>245</v>
      </c>
      <c r="G11" s="237" t="s">
        <v>246</v>
      </c>
    </row>
    <row r="12" spans="2:9" ht="15.75" x14ac:dyDescent="0.2">
      <c r="B12" s="175" t="s">
        <v>112</v>
      </c>
      <c r="C12" s="143" t="s">
        <v>20</v>
      </c>
      <c r="D12" s="80" t="s">
        <v>87</v>
      </c>
      <c r="E12" s="80" t="s">
        <v>86</v>
      </c>
      <c r="F12" s="80" t="s">
        <v>88</v>
      </c>
      <c r="G12" s="80" t="s">
        <v>89</v>
      </c>
      <c r="I12" s="196"/>
    </row>
    <row r="13" spans="2:9" x14ac:dyDescent="0.2">
      <c r="B13" s="218">
        <v>1</v>
      </c>
      <c r="C13" s="260" t="str">
        <f t="shared" ref="C13:C22" si="0">IF(NOT(COUNTA(D13:G13)),"",VLOOKUP($D$7,Info_County_Code,2,FALSE))</f>
        <v/>
      </c>
      <c r="D13" s="318"/>
      <c r="E13" s="288"/>
      <c r="F13" s="319"/>
      <c r="G13" s="320"/>
    </row>
    <row r="14" spans="2:9" x14ac:dyDescent="0.2">
      <c r="B14" s="218">
        <v>2</v>
      </c>
      <c r="C14" s="260" t="str">
        <f t="shared" si="0"/>
        <v/>
      </c>
      <c r="D14" s="318"/>
      <c r="E14" s="288"/>
      <c r="F14" s="319"/>
      <c r="G14" s="320"/>
    </row>
    <row r="15" spans="2:9" x14ac:dyDescent="0.2">
      <c r="B15" s="218">
        <v>3</v>
      </c>
      <c r="C15" s="260" t="str">
        <f t="shared" si="0"/>
        <v/>
      </c>
      <c r="D15" s="318"/>
      <c r="E15" s="288"/>
      <c r="F15" s="319"/>
      <c r="G15" s="320"/>
    </row>
    <row r="16" spans="2:9" x14ac:dyDescent="0.2">
      <c r="B16" s="218">
        <v>4</v>
      </c>
      <c r="C16" s="260" t="str">
        <f t="shared" si="0"/>
        <v/>
      </c>
      <c r="D16" s="318"/>
      <c r="E16" s="288"/>
      <c r="F16" s="319"/>
      <c r="G16" s="320"/>
    </row>
    <row r="17" spans="2:7" x14ac:dyDescent="0.2">
      <c r="B17" s="218">
        <v>5</v>
      </c>
      <c r="C17" s="260" t="str">
        <f t="shared" si="0"/>
        <v/>
      </c>
      <c r="D17" s="318"/>
      <c r="E17" s="288"/>
      <c r="F17" s="321"/>
      <c r="G17" s="320"/>
    </row>
    <row r="18" spans="2:7" x14ac:dyDescent="0.2">
      <c r="B18" s="218">
        <v>6</v>
      </c>
      <c r="C18" s="260" t="str">
        <f t="shared" si="0"/>
        <v/>
      </c>
      <c r="D18" s="318"/>
      <c r="E18" s="288"/>
      <c r="F18" s="321"/>
      <c r="G18" s="320"/>
    </row>
    <row r="19" spans="2:7" x14ac:dyDescent="0.2">
      <c r="B19" s="218">
        <v>7</v>
      </c>
      <c r="C19" s="260" t="str">
        <f t="shared" si="0"/>
        <v/>
      </c>
      <c r="D19" s="318"/>
      <c r="E19" s="288"/>
      <c r="F19" s="321"/>
      <c r="G19" s="320"/>
    </row>
    <row r="20" spans="2:7" x14ac:dyDescent="0.2">
      <c r="B20" s="218">
        <v>8</v>
      </c>
      <c r="C20" s="260" t="str">
        <f t="shared" si="0"/>
        <v/>
      </c>
      <c r="D20" s="318"/>
      <c r="E20" s="288"/>
      <c r="F20" s="321"/>
      <c r="G20" s="320"/>
    </row>
    <row r="21" spans="2:7" x14ac:dyDescent="0.2">
      <c r="B21" s="218">
        <v>9</v>
      </c>
      <c r="C21" s="260" t="str">
        <f t="shared" si="0"/>
        <v/>
      </c>
      <c r="D21" s="318"/>
      <c r="E21" s="288"/>
      <c r="F21" s="321"/>
      <c r="G21" s="320"/>
    </row>
    <row r="22" spans="2:7" x14ac:dyDescent="0.2">
      <c r="B22" s="218">
        <v>10</v>
      </c>
      <c r="C22" s="260" t="str">
        <f t="shared" si="0"/>
        <v/>
      </c>
      <c r="D22" s="318"/>
      <c r="E22" s="288"/>
      <c r="F22" s="321"/>
      <c r="G22" s="320"/>
    </row>
    <row r="23" spans="2:7" x14ac:dyDescent="0.2">
      <c r="B23" s="376">
        <v>11</v>
      </c>
      <c r="C23" s="260" t="str">
        <f t="shared" ref="C23:C42" si="1">IF(NOT(COUNTA(D23:G23)),"",VLOOKUP($D$7,Info_County_Code,2,FALSE))</f>
        <v/>
      </c>
      <c r="D23" s="318"/>
      <c r="E23" s="288"/>
      <c r="F23" s="319"/>
      <c r="G23" s="320"/>
    </row>
    <row r="24" spans="2:7" x14ac:dyDescent="0.2">
      <c r="B24" s="376">
        <v>12</v>
      </c>
      <c r="C24" s="260" t="str">
        <f t="shared" si="1"/>
        <v/>
      </c>
      <c r="D24" s="318"/>
      <c r="E24" s="288"/>
      <c r="F24" s="319"/>
      <c r="G24" s="320"/>
    </row>
    <row r="25" spans="2:7" x14ac:dyDescent="0.2">
      <c r="B25" s="376">
        <v>13</v>
      </c>
      <c r="C25" s="260" t="str">
        <f t="shared" si="1"/>
        <v/>
      </c>
      <c r="D25" s="318"/>
      <c r="E25" s="288"/>
      <c r="F25" s="319"/>
      <c r="G25" s="320"/>
    </row>
    <row r="26" spans="2:7" x14ac:dyDescent="0.2">
      <c r="B26" s="376">
        <v>14</v>
      </c>
      <c r="C26" s="260" t="str">
        <f t="shared" si="1"/>
        <v/>
      </c>
      <c r="D26" s="318"/>
      <c r="E26" s="288"/>
      <c r="F26" s="319"/>
      <c r="G26" s="320"/>
    </row>
    <row r="27" spans="2:7" x14ac:dyDescent="0.2">
      <c r="B27" s="376">
        <v>15</v>
      </c>
      <c r="C27" s="260" t="str">
        <f t="shared" si="1"/>
        <v/>
      </c>
      <c r="D27" s="318"/>
      <c r="E27" s="288"/>
      <c r="F27" s="321"/>
      <c r="G27" s="320"/>
    </row>
    <row r="28" spans="2:7" x14ac:dyDescent="0.2">
      <c r="B28" s="376">
        <v>16</v>
      </c>
      <c r="C28" s="260" t="str">
        <f t="shared" si="1"/>
        <v/>
      </c>
      <c r="D28" s="318"/>
      <c r="E28" s="288"/>
      <c r="F28" s="321"/>
      <c r="G28" s="320"/>
    </row>
    <row r="29" spans="2:7" x14ac:dyDescent="0.2">
      <c r="B29" s="376">
        <v>17</v>
      </c>
      <c r="C29" s="260" t="str">
        <f t="shared" si="1"/>
        <v/>
      </c>
      <c r="D29" s="318"/>
      <c r="E29" s="288"/>
      <c r="F29" s="321"/>
      <c r="G29" s="320"/>
    </row>
    <row r="30" spans="2:7" x14ac:dyDescent="0.2">
      <c r="B30" s="376">
        <v>18</v>
      </c>
      <c r="C30" s="260" t="str">
        <f t="shared" si="1"/>
        <v/>
      </c>
      <c r="D30" s="318"/>
      <c r="E30" s="288"/>
      <c r="F30" s="321"/>
      <c r="G30" s="320"/>
    </row>
    <row r="31" spans="2:7" x14ac:dyDescent="0.2">
      <c r="B31" s="376">
        <v>19</v>
      </c>
      <c r="C31" s="260" t="str">
        <f t="shared" si="1"/>
        <v/>
      </c>
      <c r="D31" s="318"/>
      <c r="E31" s="288"/>
      <c r="F31" s="321"/>
      <c r="G31" s="320"/>
    </row>
    <row r="32" spans="2:7" x14ac:dyDescent="0.2">
      <c r="B32" s="376">
        <v>20</v>
      </c>
      <c r="C32" s="260" t="str">
        <f t="shared" si="1"/>
        <v/>
      </c>
      <c r="D32" s="318"/>
      <c r="E32" s="288"/>
      <c r="F32" s="321"/>
      <c r="G32" s="320"/>
    </row>
    <row r="33" spans="2:7" x14ac:dyDescent="0.2">
      <c r="B33" s="376">
        <v>21</v>
      </c>
      <c r="C33" s="260" t="str">
        <f t="shared" si="1"/>
        <v/>
      </c>
      <c r="D33" s="318"/>
      <c r="E33" s="288"/>
      <c r="F33" s="319"/>
      <c r="G33" s="320"/>
    </row>
    <row r="34" spans="2:7" x14ac:dyDescent="0.2">
      <c r="B34" s="376">
        <v>22</v>
      </c>
      <c r="C34" s="260" t="str">
        <f t="shared" si="1"/>
        <v/>
      </c>
      <c r="D34" s="318"/>
      <c r="E34" s="288"/>
      <c r="F34" s="319"/>
      <c r="G34" s="320"/>
    </row>
    <row r="35" spans="2:7" x14ac:dyDescent="0.2">
      <c r="B35" s="376">
        <v>23</v>
      </c>
      <c r="C35" s="260" t="str">
        <f t="shared" si="1"/>
        <v/>
      </c>
      <c r="D35" s="318"/>
      <c r="E35" s="288"/>
      <c r="F35" s="319"/>
      <c r="G35" s="320"/>
    </row>
    <row r="36" spans="2:7" x14ac:dyDescent="0.2">
      <c r="B36" s="376">
        <v>24</v>
      </c>
      <c r="C36" s="260" t="str">
        <f t="shared" si="1"/>
        <v/>
      </c>
      <c r="D36" s="318"/>
      <c r="E36" s="288"/>
      <c r="F36" s="319"/>
      <c r="G36" s="320"/>
    </row>
    <row r="37" spans="2:7" x14ac:dyDescent="0.2">
      <c r="B37" s="376">
        <v>25</v>
      </c>
      <c r="C37" s="260" t="str">
        <f t="shared" si="1"/>
        <v/>
      </c>
      <c r="D37" s="318"/>
      <c r="E37" s="288"/>
      <c r="F37" s="321"/>
      <c r="G37" s="320"/>
    </row>
    <row r="38" spans="2:7" x14ac:dyDescent="0.2">
      <c r="B38" s="376">
        <v>26</v>
      </c>
      <c r="C38" s="260" t="str">
        <f t="shared" si="1"/>
        <v/>
      </c>
      <c r="D38" s="318"/>
      <c r="E38" s="288"/>
      <c r="F38" s="321"/>
      <c r="G38" s="320"/>
    </row>
    <row r="39" spans="2:7" x14ac:dyDescent="0.2">
      <c r="B39" s="376">
        <v>27</v>
      </c>
      <c r="C39" s="260" t="str">
        <f t="shared" si="1"/>
        <v/>
      </c>
      <c r="D39" s="318"/>
      <c r="E39" s="288"/>
      <c r="F39" s="321"/>
      <c r="G39" s="320"/>
    </row>
    <row r="40" spans="2:7" x14ac:dyDescent="0.2">
      <c r="B40" s="376">
        <v>28</v>
      </c>
      <c r="C40" s="260" t="str">
        <f t="shared" si="1"/>
        <v/>
      </c>
      <c r="D40" s="318"/>
      <c r="E40" s="288"/>
      <c r="F40" s="321"/>
      <c r="G40" s="320"/>
    </row>
    <row r="41" spans="2:7" x14ac:dyDescent="0.2">
      <c r="B41" s="376">
        <v>29</v>
      </c>
      <c r="C41" s="260" t="str">
        <f t="shared" si="1"/>
        <v/>
      </c>
      <c r="D41" s="318"/>
      <c r="E41" s="288"/>
      <c r="F41" s="321"/>
      <c r="G41" s="320"/>
    </row>
    <row r="42" spans="2:7" x14ac:dyDescent="0.2">
      <c r="B42" s="376">
        <v>30</v>
      </c>
      <c r="C42" s="260" t="str">
        <f t="shared" si="1"/>
        <v/>
      </c>
      <c r="D42" s="318"/>
      <c r="E42" s="288"/>
      <c r="F42" s="321"/>
      <c r="G42" s="320"/>
    </row>
    <row r="43" spans="2:7" x14ac:dyDescent="0.2">
      <c r="C43" s="322" t="str">
        <f>IF(NOT(COUNTA(D43:G43)),"",VLOOKUP(D21,Info_County_Code,2,FALSE))</f>
        <v/>
      </c>
      <c r="D43" s="216"/>
      <c r="E43" s="216"/>
      <c r="F43" s="323"/>
    </row>
    <row r="44" spans="2:7" ht="18.75" thickBot="1" x14ac:dyDescent="0.3">
      <c r="B44" s="342" t="s">
        <v>281</v>
      </c>
      <c r="C44" s="324"/>
      <c r="D44" s="230"/>
      <c r="E44" s="230"/>
      <c r="F44" s="325"/>
      <c r="G44" s="230"/>
    </row>
    <row r="45" spans="2:7" s="216" customFormat="1" ht="15.75" thickTop="1" x14ac:dyDescent="0.2"/>
    <row r="46" spans="2:7" s="216" customFormat="1" x14ac:dyDescent="0.2">
      <c r="C46" s="218" t="s">
        <v>59</v>
      </c>
      <c r="D46" s="218" t="s">
        <v>61</v>
      </c>
      <c r="E46" s="218" t="s">
        <v>65</v>
      </c>
      <c r="F46" s="218" t="s">
        <v>245</v>
      </c>
      <c r="G46" s="218" t="s">
        <v>246</v>
      </c>
    </row>
    <row r="47" spans="2:7" ht="15.75" x14ac:dyDescent="0.2">
      <c r="B47" s="175" t="s">
        <v>112</v>
      </c>
      <c r="C47" s="143" t="s">
        <v>20</v>
      </c>
      <c r="D47" s="143" t="s">
        <v>161</v>
      </c>
      <c r="E47" s="80" t="s">
        <v>87</v>
      </c>
      <c r="F47" s="80" t="s">
        <v>88</v>
      </c>
      <c r="G47" s="80" t="s">
        <v>89</v>
      </c>
    </row>
    <row r="48" spans="2:7" x14ac:dyDescent="0.2">
      <c r="B48" s="218">
        <v>1</v>
      </c>
      <c r="C48" s="326" t="str">
        <f t="shared" ref="C48:C77" si="2">IF(NOT(COUNTA(E48:G48)),"",VLOOKUP($D$7,Info_County_Code,2,FALSE))</f>
        <v/>
      </c>
      <c r="D48" s="327" t="s">
        <v>54</v>
      </c>
      <c r="E48" s="288"/>
      <c r="F48" s="319"/>
      <c r="G48" s="320"/>
    </row>
    <row r="49" spans="2:7" x14ac:dyDescent="0.2">
      <c r="B49" s="218">
        <v>2</v>
      </c>
      <c r="C49" s="326" t="str">
        <f t="shared" si="2"/>
        <v/>
      </c>
      <c r="D49" s="327" t="s">
        <v>54</v>
      </c>
      <c r="E49" s="288"/>
      <c r="F49" s="319"/>
      <c r="G49" s="320"/>
    </row>
    <row r="50" spans="2:7" x14ac:dyDescent="0.2">
      <c r="B50" s="218">
        <v>3</v>
      </c>
      <c r="C50" s="326" t="str">
        <f t="shared" si="2"/>
        <v/>
      </c>
      <c r="D50" s="327" t="s">
        <v>54</v>
      </c>
      <c r="E50" s="288"/>
      <c r="F50" s="319"/>
      <c r="G50" s="320"/>
    </row>
    <row r="51" spans="2:7" x14ac:dyDescent="0.2">
      <c r="B51" s="376">
        <v>4</v>
      </c>
      <c r="C51" s="326" t="str">
        <f t="shared" si="2"/>
        <v/>
      </c>
      <c r="D51" s="327" t="s">
        <v>54</v>
      </c>
      <c r="E51" s="288"/>
      <c r="F51" s="319"/>
      <c r="G51" s="320"/>
    </row>
    <row r="52" spans="2:7" x14ac:dyDescent="0.2">
      <c r="B52" s="376">
        <v>5</v>
      </c>
      <c r="C52" s="326" t="str">
        <f t="shared" si="2"/>
        <v/>
      </c>
      <c r="D52" s="327" t="s">
        <v>54</v>
      </c>
      <c r="E52" s="288"/>
      <c r="F52" s="319"/>
      <c r="G52" s="320"/>
    </row>
    <row r="53" spans="2:7" x14ac:dyDescent="0.2">
      <c r="B53" s="376">
        <v>6</v>
      </c>
      <c r="C53" s="326" t="str">
        <f t="shared" si="2"/>
        <v/>
      </c>
      <c r="D53" s="327" t="s">
        <v>54</v>
      </c>
      <c r="E53" s="288"/>
      <c r="F53" s="319"/>
      <c r="G53" s="320"/>
    </row>
    <row r="54" spans="2:7" x14ac:dyDescent="0.2">
      <c r="B54" s="376">
        <v>7</v>
      </c>
      <c r="C54" s="326" t="str">
        <f t="shared" si="2"/>
        <v/>
      </c>
      <c r="D54" s="327" t="s">
        <v>54</v>
      </c>
      <c r="E54" s="288"/>
      <c r="F54" s="319"/>
      <c r="G54" s="320"/>
    </row>
    <row r="55" spans="2:7" x14ac:dyDescent="0.2">
      <c r="B55" s="376">
        <v>8</v>
      </c>
      <c r="C55" s="326" t="str">
        <f t="shared" si="2"/>
        <v/>
      </c>
      <c r="D55" s="327" t="s">
        <v>54</v>
      </c>
      <c r="E55" s="288"/>
      <c r="F55" s="319"/>
      <c r="G55" s="320"/>
    </row>
    <row r="56" spans="2:7" x14ac:dyDescent="0.2">
      <c r="B56" s="376">
        <v>9</v>
      </c>
      <c r="C56" s="326" t="str">
        <f t="shared" si="2"/>
        <v/>
      </c>
      <c r="D56" s="327" t="s">
        <v>54</v>
      </c>
      <c r="E56" s="288"/>
      <c r="F56" s="319"/>
      <c r="G56" s="320"/>
    </row>
    <row r="57" spans="2:7" x14ac:dyDescent="0.2">
      <c r="B57" s="376">
        <v>10</v>
      </c>
      <c r="C57" s="326" t="str">
        <f t="shared" si="2"/>
        <v/>
      </c>
      <c r="D57" s="327" t="s">
        <v>54</v>
      </c>
      <c r="E57" s="288"/>
      <c r="F57" s="319"/>
      <c r="G57" s="320"/>
    </row>
    <row r="58" spans="2:7" x14ac:dyDescent="0.2">
      <c r="B58" s="376">
        <v>11</v>
      </c>
      <c r="C58" s="326" t="str">
        <f t="shared" si="2"/>
        <v/>
      </c>
      <c r="D58" s="327" t="s">
        <v>54</v>
      </c>
      <c r="E58" s="288"/>
      <c r="F58" s="319"/>
      <c r="G58" s="320"/>
    </row>
    <row r="59" spans="2:7" x14ac:dyDescent="0.2">
      <c r="B59" s="376">
        <v>12</v>
      </c>
      <c r="C59" s="326" t="str">
        <f t="shared" si="2"/>
        <v/>
      </c>
      <c r="D59" s="327" t="s">
        <v>54</v>
      </c>
      <c r="E59" s="288"/>
      <c r="F59" s="319"/>
      <c r="G59" s="320"/>
    </row>
    <row r="60" spans="2:7" x14ac:dyDescent="0.2">
      <c r="B60" s="376">
        <v>13</v>
      </c>
      <c r="C60" s="326" t="str">
        <f t="shared" si="2"/>
        <v/>
      </c>
      <c r="D60" s="327" t="s">
        <v>54</v>
      </c>
      <c r="E60" s="288"/>
      <c r="F60" s="319"/>
      <c r="G60" s="320"/>
    </row>
    <row r="61" spans="2:7" x14ac:dyDescent="0.2">
      <c r="B61" s="376">
        <v>14</v>
      </c>
      <c r="C61" s="326" t="str">
        <f t="shared" si="2"/>
        <v/>
      </c>
      <c r="D61" s="327" t="s">
        <v>54</v>
      </c>
      <c r="E61" s="288"/>
      <c r="F61" s="319"/>
      <c r="G61" s="320"/>
    </row>
    <row r="62" spans="2:7" x14ac:dyDescent="0.2">
      <c r="B62" s="376">
        <v>15</v>
      </c>
      <c r="C62" s="326" t="str">
        <f t="shared" si="2"/>
        <v/>
      </c>
      <c r="D62" s="327" t="s">
        <v>54</v>
      </c>
      <c r="E62" s="288"/>
      <c r="F62" s="319"/>
      <c r="G62" s="320"/>
    </row>
    <row r="63" spans="2:7" x14ac:dyDescent="0.2">
      <c r="B63" s="376">
        <v>16</v>
      </c>
      <c r="C63" s="326" t="str">
        <f t="shared" si="2"/>
        <v/>
      </c>
      <c r="D63" s="327" t="s">
        <v>54</v>
      </c>
      <c r="E63" s="288"/>
      <c r="F63" s="319"/>
      <c r="G63" s="320"/>
    </row>
    <row r="64" spans="2:7" x14ac:dyDescent="0.2">
      <c r="B64" s="376">
        <v>17</v>
      </c>
      <c r="C64" s="326" t="str">
        <f t="shared" si="2"/>
        <v/>
      </c>
      <c r="D64" s="327" t="s">
        <v>54</v>
      </c>
      <c r="E64" s="288"/>
      <c r="F64" s="319"/>
      <c r="G64" s="320"/>
    </row>
    <row r="65" spans="2:7" x14ac:dyDescent="0.2">
      <c r="B65" s="376">
        <v>18</v>
      </c>
      <c r="C65" s="326" t="str">
        <f t="shared" si="2"/>
        <v/>
      </c>
      <c r="D65" s="327" t="s">
        <v>54</v>
      </c>
      <c r="E65" s="288"/>
      <c r="F65" s="319"/>
      <c r="G65" s="320"/>
    </row>
    <row r="66" spans="2:7" x14ac:dyDescent="0.2">
      <c r="B66" s="376">
        <v>19</v>
      </c>
      <c r="C66" s="326" t="str">
        <f t="shared" si="2"/>
        <v/>
      </c>
      <c r="D66" s="327" t="s">
        <v>54</v>
      </c>
      <c r="E66" s="288"/>
      <c r="F66" s="319"/>
      <c r="G66" s="320"/>
    </row>
    <row r="67" spans="2:7" x14ac:dyDescent="0.2">
      <c r="B67" s="376">
        <v>20</v>
      </c>
      <c r="C67" s="326" t="str">
        <f t="shared" si="2"/>
        <v/>
      </c>
      <c r="D67" s="327" t="s">
        <v>54</v>
      </c>
      <c r="E67" s="288"/>
      <c r="F67" s="319"/>
      <c r="G67" s="320"/>
    </row>
    <row r="68" spans="2:7" x14ac:dyDescent="0.2">
      <c r="B68" s="376">
        <v>21</v>
      </c>
      <c r="C68" s="326" t="str">
        <f t="shared" si="2"/>
        <v/>
      </c>
      <c r="D68" s="327" t="s">
        <v>54</v>
      </c>
      <c r="E68" s="288"/>
      <c r="F68" s="319"/>
      <c r="G68" s="320"/>
    </row>
    <row r="69" spans="2:7" x14ac:dyDescent="0.2">
      <c r="B69" s="376">
        <v>22</v>
      </c>
      <c r="C69" s="326" t="str">
        <f t="shared" si="2"/>
        <v/>
      </c>
      <c r="D69" s="327" t="s">
        <v>54</v>
      </c>
      <c r="E69" s="288"/>
      <c r="F69" s="319"/>
      <c r="G69" s="320"/>
    </row>
    <row r="70" spans="2:7" x14ac:dyDescent="0.2">
      <c r="B70" s="376">
        <v>23</v>
      </c>
      <c r="C70" s="326" t="str">
        <f t="shared" si="2"/>
        <v/>
      </c>
      <c r="D70" s="327" t="s">
        <v>54</v>
      </c>
      <c r="E70" s="288"/>
      <c r="F70" s="319"/>
      <c r="G70" s="320"/>
    </row>
    <row r="71" spans="2:7" x14ac:dyDescent="0.2">
      <c r="B71" s="376">
        <v>24</v>
      </c>
      <c r="C71" s="326" t="str">
        <f t="shared" si="2"/>
        <v/>
      </c>
      <c r="D71" s="327" t="s">
        <v>54</v>
      </c>
      <c r="E71" s="288"/>
      <c r="F71" s="319"/>
      <c r="G71" s="320"/>
    </row>
    <row r="72" spans="2:7" x14ac:dyDescent="0.2">
      <c r="B72" s="376">
        <v>25</v>
      </c>
      <c r="C72" s="326" t="str">
        <f t="shared" si="2"/>
        <v/>
      </c>
      <c r="D72" s="327" t="s">
        <v>54</v>
      </c>
      <c r="E72" s="288"/>
      <c r="F72" s="319"/>
      <c r="G72" s="320"/>
    </row>
    <row r="73" spans="2:7" x14ac:dyDescent="0.2">
      <c r="B73" s="376">
        <v>26</v>
      </c>
      <c r="C73" s="326" t="str">
        <f t="shared" si="2"/>
        <v/>
      </c>
      <c r="D73" s="327" t="s">
        <v>54</v>
      </c>
      <c r="E73" s="288"/>
      <c r="F73" s="319"/>
      <c r="G73" s="320"/>
    </row>
    <row r="74" spans="2:7" x14ac:dyDescent="0.2">
      <c r="B74" s="376">
        <v>27</v>
      </c>
      <c r="C74" s="326" t="str">
        <f t="shared" si="2"/>
        <v/>
      </c>
      <c r="D74" s="327" t="s">
        <v>54</v>
      </c>
      <c r="E74" s="288"/>
      <c r="F74" s="319"/>
      <c r="G74" s="320"/>
    </row>
    <row r="75" spans="2:7" x14ac:dyDescent="0.2">
      <c r="B75" s="376">
        <v>28</v>
      </c>
      <c r="C75" s="326" t="str">
        <f t="shared" si="2"/>
        <v/>
      </c>
      <c r="D75" s="327" t="s">
        <v>54</v>
      </c>
      <c r="E75" s="288"/>
      <c r="F75" s="319"/>
      <c r="G75" s="320"/>
    </row>
    <row r="76" spans="2:7" x14ac:dyDescent="0.2">
      <c r="B76" s="376">
        <v>29</v>
      </c>
      <c r="C76" s="326" t="str">
        <f t="shared" si="2"/>
        <v/>
      </c>
      <c r="D76" s="327" t="s">
        <v>54</v>
      </c>
      <c r="E76" s="288"/>
      <c r="F76" s="319"/>
      <c r="G76" s="320"/>
    </row>
    <row r="77" spans="2:7" x14ac:dyDescent="0.2">
      <c r="B77" s="376">
        <v>30</v>
      </c>
      <c r="C77" s="326" t="str">
        <f t="shared" si="2"/>
        <v/>
      </c>
      <c r="D77" s="327" t="s">
        <v>54</v>
      </c>
      <c r="E77" s="288"/>
      <c r="F77" s="319"/>
      <c r="G77" s="320"/>
    </row>
    <row r="78" spans="2:7" x14ac:dyDescent="0.2">
      <c r="D78" s="322"/>
      <c r="E78" s="228"/>
    </row>
    <row r="79" spans="2:7" ht="18.75" thickBot="1" x14ac:dyDescent="0.3">
      <c r="B79" s="342" t="s">
        <v>282</v>
      </c>
      <c r="C79" s="230"/>
      <c r="D79" s="324"/>
      <c r="E79" s="232"/>
      <c r="F79" s="230"/>
    </row>
    <row r="80" spans="2:7" ht="15.75" thickTop="1" x14ac:dyDescent="0.2">
      <c r="D80" s="322"/>
      <c r="E80" s="228"/>
    </row>
    <row r="81" spans="2:6" x14ac:dyDescent="0.2">
      <c r="C81" s="237" t="s">
        <v>59</v>
      </c>
      <c r="D81" s="328" t="s">
        <v>61</v>
      </c>
      <c r="E81" s="236" t="s">
        <v>65</v>
      </c>
      <c r="F81" s="237" t="s">
        <v>245</v>
      </c>
    </row>
    <row r="82" spans="2:6" ht="15.75" x14ac:dyDescent="0.2">
      <c r="B82" s="175" t="s">
        <v>112</v>
      </c>
      <c r="C82" s="143" t="s">
        <v>20</v>
      </c>
      <c r="D82" s="143" t="s">
        <v>161</v>
      </c>
      <c r="E82" s="80" t="s">
        <v>88</v>
      </c>
      <c r="F82" s="80" t="s">
        <v>89</v>
      </c>
    </row>
    <row r="83" spans="2:6" x14ac:dyDescent="0.2">
      <c r="B83" s="218">
        <v>1</v>
      </c>
      <c r="C83" s="326" t="str">
        <f t="shared" ref="C83:C112" si="3">IF(NOT(COUNTA(E83:F83)),"",VLOOKUP($D$7,Info_County_Code,2,FALSE))</f>
        <v/>
      </c>
      <c r="D83" s="327" t="s">
        <v>162</v>
      </c>
      <c r="E83" s="319"/>
      <c r="F83" s="320"/>
    </row>
    <row r="84" spans="2:6" x14ac:dyDescent="0.2">
      <c r="B84" s="218">
        <v>2</v>
      </c>
      <c r="C84" s="326" t="str">
        <f t="shared" si="3"/>
        <v/>
      </c>
      <c r="D84" s="327" t="s">
        <v>162</v>
      </c>
      <c r="E84" s="319"/>
      <c r="F84" s="320"/>
    </row>
    <row r="85" spans="2:6" x14ac:dyDescent="0.2">
      <c r="B85" s="218">
        <v>3</v>
      </c>
      <c r="C85" s="326" t="str">
        <f t="shared" si="3"/>
        <v/>
      </c>
      <c r="D85" s="327" t="s">
        <v>162</v>
      </c>
      <c r="E85" s="319"/>
      <c r="F85" s="320"/>
    </row>
    <row r="86" spans="2:6" x14ac:dyDescent="0.2">
      <c r="B86" s="376">
        <v>4</v>
      </c>
      <c r="C86" s="326" t="str">
        <f t="shared" si="3"/>
        <v/>
      </c>
      <c r="D86" s="327" t="s">
        <v>162</v>
      </c>
      <c r="E86" s="319"/>
      <c r="F86" s="320"/>
    </row>
    <row r="87" spans="2:6" x14ac:dyDescent="0.2">
      <c r="B87" s="376">
        <v>5</v>
      </c>
      <c r="C87" s="326" t="str">
        <f t="shared" si="3"/>
        <v/>
      </c>
      <c r="D87" s="327" t="s">
        <v>162</v>
      </c>
      <c r="E87" s="319"/>
      <c r="F87" s="320"/>
    </row>
    <row r="88" spans="2:6" x14ac:dyDescent="0.2">
      <c r="B88" s="376">
        <v>6</v>
      </c>
      <c r="C88" s="326" t="str">
        <f t="shared" si="3"/>
        <v/>
      </c>
      <c r="D88" s="327" t="s">
        <v>162</v>
      </c>
      <c r="E88" s="319"/>
      <c r="F88" s="320"/>
    </row>
    <row r="89" spans="2:6" x14ac:dyDescent="0.2">
      <c r="B89" s="376">
        <v>7</v>
      </c>
      <c r="C89" s="326" t="str">
        <f t="shared" si="3"/>
        <v/>
      </c>
      <c r="D89" s="327" t="s">
        <v>162</v>
      </c>
      <c r="E89" s="319"/>
      <c r="F89" s="320"/>
    </row>
    <row r="90" spans="2:6" x14ac:dyDescent="0.2">
      <c r="B90" s="376">
        <v>8</v>
      </c>
      <c r="C90" s="326" t="str">
        <f t="shared" si="3"/>
        <v/>
      </c>
      <c r="D90" s="327" t="s">
        <v>162</v>
      </c>
      <c r="E90" s="319"/>
      <c r="F90" s="320"/>
    </row>
    <row r="91" spans="2:6" x14ac:dyDescent="0.2">
      <c r="B91" s="376">
        <v>9</v>
      </c>
      <c r="C91" s="326" t="str">
        <f t="shared" si="3"/>
        <v/>
      </c>
      <c r="D91" s="327" t="s">
        <v>162</v>
      </c>
      <c r="E91" s="319"/>
      <c r="F91" s="320"/>
    </row>
    <row r="92" spans="2:6" x14ac:dyDescent="0.2">
      <c r="B92" s="376">
        <v>10</v>
      </c>
      <c r="C92" s="326" t="str">
        <f t="shared" si="3"/>
        <v/>
      </c>
      <c r="D92" s="327" t="s">
        <v>162</v>
      </c>
      <c r="E92" s="319"/>
      <c r="F92" s="320"/>
    </row>
    <row r="93" spans="2:6" x14ac:dyDescent="0.2">
      <c r="B93" s="376">
        <v>11</v>
      </c>
      <c r="C93" s="326" t="str">
        <f t="shared" si="3"/>
        <v/>
      </c>
      <c r="D93" s="327" t="s">
        <v>162</v>
      </c>
      <c r="E93" s="319"/>
      <c r="F93" s="320"/>
    </row>
    <row r="94" spans="2:6" x14ac:dyDescent="0.2">
      <c r="B94" s="376">
        <v>12</v>
      </c>
      <c r="C94" s="326" t="str">
        <f t="shared" si="3"/>
        <v/>
      </c>
      <c r="D94" s="327" t="s">
        <v>162</v>
      </c>
      <c r="E94" s="319"/>
      <c r="F94" s="320"/>
    </row>
    <row r="95" spans="2:6" x14ac:dyDescent="0.2">
      <c r="B95" s="376">
        <v>13</v>
      </c>
      <c r="C95" s="326" t="str">
        <f t="shared" si="3"/>
        <v/>
      </c>
      <c r="D95" s="327" t="s">
        <v>162</v>
      </c>
      <c r="E95" s="319"/>
      <c r="F95" s="320"/>
    </row>
    <row r="96" spans="2:6" x14ac:dyDescent="0.2">
      <c r="B96" s="376">
        <v>14</v>
      </c>
      <c r="C96" s="326" t="str">
        <f t="shared" si="3"/>
        <v/>
      </c>
      <c r="D96" s="327" t="s">
        <v>162</v>
      </c>
      <c r="E96" s="319"/>
      <c r="F96" s="320"/>
    </row>
    <row r="97" spans="2:6" x14ac:dyDescent="0.2">
      <c r="B97" s="376">
        <v>15</v>
      </c>
      <c r="C97" s="326" t="str">
        <f t="shared" si="3"/>
        <v/>
      </c>
      <c r="D97" s="327" t="s">
        <v>162</v>
      </c>
      <c r="E97" s="319"/>
      <c r="F97" s="320"/>
    </row>
    <row r="98" spans="2:6" x14ac:dyDescent="0.2">
      <c r="B98" s="376">
        <v>16</v>
      </c>
      <c r="C98" s="326" t="str">
        <f t="shared" si="3"/>
        <v/>
      </c>
      <c r="D98" s="327" t="s">
        <v>162</v>
      </c>
      <c r="E98" s="319"/>
      <c r="F98" s="320"/>
    </row>
    <row r="99" spans="2:6" x14ac:dyDescent="0.2">
      <c r="B99" s="376">
        <v>17</v>
      </c>
      <c r="C99" s="326" t="str">
        <f t="shared" si="3"/>
        <v/>
      </c>
      <c r="D99" s="327" t="s">
        <v>162</v>
      </c>
      <c r="E99" s="319"/>
      <c r="F99" s="320"/>
    </row>
    <row r="100" spans="2:6" x14ac:dyDescent="0.2">
      <c r="B100" s="376">
        <v>18</v>
      </c>
      <c r="C100" s="326" t="str">
        <f t="shared" si="3"/>
        <v/>
      </c>
      <c r="D100" s="327" t="s">
        <v>162</v>
      </c>
      <c r="E100" s="319"/>
      <c r="F100" s="320"/>
    </row>
    <row r="101" spans="2:6" x14ac:dyDescent="0.2">
      <c r="B101" s="376">
        <v>19</v>
      </c>
      <c r="C101" s="326" t="str">
        <f t="shared" si="3"/>
        <v/>
      </c>
      <c r="D101" s="327" t="s">
        <v>162</v>
      </c>
      <c r="E101" s="319"/>
      <c r="F101" s="320"/>
    </row>
    <row r="102" spans="2:6" x14ac:dyDescent="0.2">
      <c r="B102" s="376">
        <v>20</v>
      </c>
      <c r="C102" s="326" t="str">
        <f t="shared" si="3"/>
        <v/>
      </c>
      <c r="D102" s="327" t="s">
        <v>162</v>
      </c>
      <c r="E102" s="319"/>
      <c r="F102" s="320"/>
    </row>
    <row r="103" spans="2:6" x14ac:dyDescent="0.2">
      <c r="B103" s="376">
        <v>21</v>
      </c>
      <c r="C103" s="326" t="str">
        <f t="shared" si="3"/>
        <v/>
      </c>
      <c r="D103" s="327" t="s">
        <v>162</v>
      </c>
      <c r="E103" s="319"/>
      <c r="F103" s="320"/>
    </row>
    <row r="104" spans="2:6" x14ac:dyDescent="0.2">
      <c r="B104" s="376">
        <v>22</v>
      </c>
      <c r="C104" s="326" t="str">
        <f t="shared" si="3"/>
        <v/>
      </c>
      <c r="D104" s="327" t="s">
        <v>162</v>
      </c>
      <c r="E104" s="319"/>
      <c r="F104" s="320"/>
    </row>
    <row r="105" spans="2:6" x14ac:dyDescent="0.2">
      <c r="B105" s="376">
        <v>23</v>
      </c>
      <c r="C105" s="326" t="str">
        <f t="shared" si="3"/>
        <v/>
      </c>
      <c r="D105" s="327" t="s">
        <v>162</v>
      </c>
      <c r="E105" s="319"/>
      <c r="F105" s="320"/>
    </row>
    <row r="106" spans="2:6" x14ac:dyDescent="0.2">
      <c r="B106" s="376">
        <v>24</v>
      </c>
      <c r="C106" s="326" t="str">
        <f t="shared" si="3"/>
        <v/>
      </c>
      <c r="D106" s="327" t="s">
        <v>162</v>
      </c>
      <c r="E106" s="319"/>
      <c r="F106" s="320"/>
    </row>
    <row r="107" spans="2:6" x14ac:dyDescent="0.2">
      <c r="B107" s="376">
        <v>25</v>
      </c>
      <c r="C107" s="326" t="str">
        <f t="shared" si="3"/>
        <v/>
      </c>
      <c r="D107" s="327" t="s">
        <v>162</v>
      </c>
      <c r="E107" s="319"/>
      <c r="F107" s="320"/>
    </row>
    <row r="108" spans="2:6" x14ac:dyDescent="0.2">
      <c r="B108" s="376">
        <v>26</v>
      </c>
      <c r="C108" s="326" t="str">
        <f t="shared" si="3"/>
        <v/>
      </c>
      <c r="D108" s="327" t="s">
        <v>162</v>
      </c>
      <c r="E108" s="319"/>
      <c r="F108" s="320"/>
    </row>
    <row r="109" spans="2:6" x14ac:dyDescent="0.2">
      <c r="B109" s="376">
        <v>27</v>
      </c>
      <c r="C109" s="326" t="str">
        <f t="shared" si="3"/>
        <v/>
      </c>
      <c r="D109" s="327" t="s">
        <v>162</v>
      </c>
      <c r="E109" s="319"/>
      <c r="F109" s="320"/>
    </row>
    <row r="110" spans="2:6" x14ac:dyDescent="0.2">
      <c r="B110" s="376">
        <v>28</v>
      </c>
      <c r="C110" s="326" t="str">
        <f t="shared" si="3"/>
        <v/>
      </c>
      <c r="D110" s="327" t="s">
        <v>162</v>
      </c>
      <c r="E110" s="319"/>
      <c r="F110" s="320"/>
    </row>
    <row r="111" spans="2:6" x14ac:dyDescent="0.2">
      <c r="B111" s="376">
        <v>29</v>
      </c>
      <c r="C111" s="326" t="str">
        <f t="shared" si="3"/>
        <v/>
      </c>
      <c r="D111" s="327" t="s">
        <v>162</v>
      </c>
      <c r="E111" s="319"/>
      <c r="F111" s="320"/>
    </row>
    <row r="112" spans="2:6" x14ac:dyDescent="0.2">
      <c r="B112" s="376">
        <v>30</v>
      </c>
      <c r="C112" s="326" t="str">
        <f t="shared" si="3"/>
        <v/>
      </c>
      <c r="D112" s="327" t="s">
        <v>162</v>
      </c>
      <c r="E112" s="319"/>
      <c r="F112" s="320"/>
    </row>
  </sheetData>
  <sheetProtection sheet="1" objects="1" scenarios="1" formatColumns="0" formatRows="0" selectLockedCells="1"/>
  <mergeCells count="1">
    <mergeCell ref="B7:C7"/>
  </mergeCells>
  <dataValidations count="2">
    <dataValidation type="list" allowBlank="1" showInputMessage="1" showErrorMessage="1" sqref="D13:D42 E48:E77" xr:uid="{00000000-0002-0000-0A00-000000000000}">
      <formula1>Adjustment_MHSA_Component</formula1>
    </dataValidation>
    <dataValidation type="list" allowBlank="1" showInputMessage="1" showErrorMessage="1" sqref="E13:E42" xr:uid="{00000000-0002-0000-0A00-000001000000}">
      <formula1>Adjustment_MHSA_FY</formula1>
    </dataValidation>
  </dataValidations>
  <hyperlinks>
    <hyperlink ref="B1" location="'2. Summary'!A1" display="Back to Summary" xr:uid="{00000000-0004-0000-0A00-000000000000}"/>
    <hyperlink ref="B1:C1" location="'2. Component Summary'!A1" display="Back to Summary" xr:uid="{00000000-0004-0000-0A00-000001000000}"/>
  </hyperlinks>
  <pageMargins left="0.25" right="0.25" top="1.32125" bottom="0.75" header="0.3" footer="0.3"/>
  <pageSetup paperSize="17" scale="80" orientation="portrait" r:id="rId1"/>
  <headerFooter>
    <oddHeader xml:space="preserve">&amp;C&amp;"Arial,Regular"&amp;16Annual Mental Health Services Act Revenue and Expenditure Report for                 
Fiscal Year 2016-17    
Adjustments Worksheet (MHSA)    
</oddHeader>
    <oddFooter>&amp;C&amp;"Arial,Regular"&amp;16Page &amp;P of &amp;N</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autoPageBreaks="0"/>
  </sheetPr>
  <dimension ref="A1:N52"/>
  <sheetViews>
    <sheetView showGridLines="0" topLeftCell="A10" zoomScale="85" zoomScaleNormal="85" workbookViewId="0">
      <selection activeCell="E13" sqref="E13"/>
    </sheetView>
  </sheetViews>
  <sheetFormatPr defaultColWidth="0" defaultRowHeight="15" zeroHeight="1" x14ac:dyDescent="0.2"/>
  <cols>
    <col min="1" max="1" width="2.7109375" style="226" customWidth="1"/>
    <col min="2" max="2" width="6.7109375" style="226" customWidth="1"/>
    <col min="3" max="3" width="9.42578125" style="226" customWidth="1"/>
    <col min="4" max="4" width="13.85546875" style="226" bestFit="1" customWidth="1"/>
    <col min="5" max="5" width="15.42578125" style="226" bestFit="1" customWidth="1"/>
    <col min="6" max="6" width="15" style="226" bestFit="1" customWidth="1"/>
    <col min="7" max="7" width="30.5703125" style="226" customWidth="1"/>
    <col min="8" max="8" width="18.28515625" style="226" customWidth="1"/>
    <col min="9" max="9" width="19.85546875" style="226" bestFit="1" customWidth="1"/>
    <col min="10" max="14" width="11.7109375" style="226" hidden="1" customWidth="1"/>
    <col min="15" max="16384" width="21.140625" style="226" hidden="1"/>
  </cols>
  <sheetData>
    <row r="1" spans="2:9" x14ac:dyDescent="0.2">
      <c r="B1" s="406" t="s">
        <v>229</v>
      </c>
      <c r="C1" s="406"/>
      <c r="D1" s="406"/>
    </row>
    <row r="2" spans="2:9" x14ac:dyDescent="0.2">
      <c r="B2" s="208"/>
      <c r="C2" s="208"/>
      <c r="D2" s="208"/>
    </row>
    <row r="3" spans="2:9" ht="18" x14ac:dyDescent="0.2">
      <c r="B3" s="343" t="s">
        <v>263</v>
      </c>
      <c r="C3" s="165"/>
      <c r="D3" s="165"/>
      <c r="E3" s="165"/>
      <c r="F3" s="165"/>
      <c r="G3" s="165"/>
      <c r="H3" s="165"/>
    </row>
    <row r="4" spans="2:9" ht="18" x14ac:dyDescent="0.2">
      <c r="B4" s="343" t="s">
        <v>0</v>
      </c>
      <c r="C4" s="165"/>
      <c r="D4" s="165"/>
      <c r="E4" s="165"/>
      <c r="F4" s="165"/>
      <c r="G4" s="165"/>
      <c r="H4" s="165"/>
    </row>
    <row r="5" spans="2:9" ht="18" x14ac:dyDescent="0.2">
      <c r="B5" s="348" t="s">
        <v>67</v>
      </c>
      <c r="C5" s="197"/>
      <c r="D5" s="197"/>
      <c r="E5" s="197"/>
      <c r="F5" s="197"/>
      <c r="G5" s="197"/>
      <c r="H5" s="197"/>
    </row>
    <row r="6" spans="2:9" ht="15.75" x14ac:dyDescent="0.2">
      <c r="B6" s="206"/>
      <c r="C6" s="206"/>
      <c r="D6" s="206"/>
      <c r="E6" s="206"/>
      <c r="F6" s="206"/>
      <c r="G6" s="206"/>
      <c r="H6" s="206"/>
    </row>
    <row r="7" spans="2:9" ht="15.75" x14ac:dyDescent="0.25">
      <c r="B7" s="397" t="s">
        <v>2</v>
      </c>
      <c r="C7" s="397"/>
      <c r="D7" s="54" t="str">
        <f>IF(ISBLANK('1. Information'!D6),"",'1. Information'!D6)</f>
        <v>Shasta</v>
      </c>
      <c r="F7" s="204" t="s">
        <v>3</v>
      </c>
      <c r="G7" s="88">
        <f ca="1">IF(ISBLANK('1. Information'!D5),"",'1. Information'!D5)</f>
        <v>44144.476150462964</v>
      </c>
      <c r="H7" s="62"/>
    </row>
    <row r="8" spans="2:9" ht="15.75" x14ac:dyDescent="0.25">
      <c r="B8" s="15"/>
      <c r="C8" s="15"/>
      <c r="D8" s="15"/>
      <c r="F8" s="15"/>
      <c r="G8" s="198"/>
      <c r="H8" s="62"/>
    </row>
    <row r="9" spans="2:9" ht="18.75" thickBot="1" x14ac:dyDescent="0.3">
      <c r="B9" s="349" t="s">
        <v>280</v>
      </c>
      <c r="C9" s="188"/>
      <c r="D9" s="188"/>
      <c r="E9" s="188"/>
      <c r="F9" s="188"/>
      <c r="G9" s="188"/>
      <c r="H9" s="188"/>
      <c r="I9" s="230"/>
    </row>
    <row r="10" spans="2:9" ht="16.5" thickTop="1" x14ac:dyDescent="0.25">
      <c r="B10" s="14"/>
      <c r="C10" s="14"/>
      <c r="D10" s="14"/>
      <c r="E10" s="14"/>
      <c r="F10" s="14"/>
      <c r="G10" s="14"/>
      <c r="H10" s="14"/>
    </row>
    <row r="11" spans="2:9" x14ac:dyDescent="0.2">
      <c r="C11" s="72" t="s">
        <v>59</v>
      </c>
      <c r="D11" s="72" t="s">
        <v>61</v>
      </c>
      <c r="E11" s="72" t="s">
        <v>65</v>
      </c>
      <c r="F11" s="72" t="s">
        <v>245</v>
      </c>
      <c r="G11" s="72" t="s">
        <v>246</v>
      </c>
      <c r="H11" s="72" t="s">
        <v>247</v>
      </c>
      <c r="I11" s="72" t="s">
        <v>256</v>
      </c>
    </row>
    <row r="12" spans="2:9" s="329" customFormat="1" ht="31.5" x14ac:dyDescent="0.25">
      <c r="B12" s="284" t="s">
        <v>112</v>
      </c>
      <c r="C12" s="143" t="s">
        <v>20</v>
      </c>
      <c r="D12" s="143" t="s">
        <v>156</v>
      </c>
      <c r="E12" s="75" t="s">
        <v>155</v>
      </c>
      <c r="F12" s="64" t="s">
        <v>87</v>
      </c>
      <c r="G12" s="75" t="s">
        <v>241</v>
      </c>
      <c r="H12" s="75" t="s">
        <v>242</v>
      </c>
      <c r="I12" s="64" t="s">
        <v>243</v>
      </c>
    </row>
    <row r="13" spans="2:9" x14ac:dyDescent="0.2">
      <c r="B13" s="218">
        <v>1</v>
      </c>
      <c r="C13" s="326" t="str">
        <f t="shared" ref="C13:C52" si="0">IF(NOT(COUNTA(G13:H13)),"",VLOOKUP($D$7,Info_County_Code,2,FALSE))</f>
        <v/>
      </c>
      <c r="D13" s="327" t="s">
        <v>44</v>
      </c>
      <c r="E13" s="318"/>
      <c r="F13" s="199" t="s">
        <v>68</v>
      </c>
      <c r="G13" s="202"/>
      <c r="H13" s="202"/>
      <c r="I13" s="200">
        <f>SUM(G13:H13)</f>
        <v>0</v>
      </c>
    </row>
    <row r="14" spans="2:9" x14ac:dyDescent="0.2">
      <c r="B14" s="218">
        <v>2</v>
      </c>
      <c r="C14" s="326" t="str">
        <f t="shared" si="0"/>
        <v/>
      </c>
      <c r="D14" s="327" t="s">
        <v>45</v>
      </c>
      <c r="E14" s="318"/>
      <c r="F14" s="199" t="s">
        <v>68</v>
      </c>
      <c r="G14" s="202"/>
      <c r="H14" s="202"/>
      <c r="I14" s="200">
        <f t="shared" ref="I14:I52" si="1">SUM(G14:H14)</f>
        <v>0</v>
      </c>
    </row>
    <row r="15" spans="2:9" x14ac:dyDescent="0.2">
      <c r="B15" s="218">
        <v>3</v>
      </c>
      <c r="C15" s="326" t="str">
        <f t="shared" si="0"/>
        <v/>
      </c>
      <c r="D15" s="327" t="s">
        <v>46</v>
      </c>
      <c r="E15" s="318"/>
      <c r="F15" s="199" t="s">
        <v>68</v>
      </c>
      <c r="G15" s="202"/>
      <c r="H15" s="202"/>
      <c r="I15" s="200">
        <f t="shared" si="1"/>
        <v>0</v>
      </c>
    </row>
    <row r="16" spans="2:9" x14ac:dyDescent="0.2">
      <c r="B16" s="218">
        <v>4</v>
      </c>
      <c r="C16" s="326" t="str">
        <f t="shared" si="0"/>
        <v/>
      </c>
      <c r="D16" s="327" t="s">
        <v>47</v>
      </c>
      <c r="E16" s="318"/>
      <c r="F16" s="199" t="s">
        <v>68</v>
      </c>
      <c r="G16" s="202"/>
      <c r="H16" s="202"/>
      <c r="I16" s="200">
        <f t="shared" si="1"/>
        <v>0</v>
      </c>
    </row>
    <row r="17" spans="2:11" x14ac:dyDescent="0.2">
      <c r="B17" s="218">
        <v>5</v>
      </c>
      <c r="C17" s="326" t="str">
        <f t="shared" si="0"/>
        <v/>
      </c>
      <c r="D17" s="327" t="s">
        <v>48</v>
      </c>
      <c r="E17" s="318"/>
      <c r="F17" s="199" t="s">
        <v>68</v>
      </c>
      <c r="G17" s="202"/>
      <c r="H17" s="202"/>
      <c r="I17" s="200">
        <f t="shared" si="1"/>
        <v>0</v>
      </c>
    </row>
    <row r="18" spans="2:11" x14ac:dyDescent="0.2">
      <c r="B18" s="218">
        <v>6</v>
      </c>
      <c r="C18" s="326" t="str">
        <f t="shared" si="0"/>
        <v/>
      </c>
      <c r="D18" s="327" t="s">
        <v>49</v>
      </c>
      <c r="E18" s="318"/>
      <c r="F18" s="199" t="s">
        <v>68</v>
      </c>
      <c r="G18" s="202"/>
      <c r="H18" s="202"/>
      <c r="I18" s="200">
        <f t="shared" si="1"/>
        <v>0</v>
      </c>
    </row>
    <row r="19" spans="2:11" x14ac:dyDescent="0.2">
      <c r="B19" s="218">
        <v>7</v>
      </c>
      <c r="C19" s="326" t="str">
        <f t="shared" si="0"/>
        <v/>
      </c>
      <c r="D19" s="327" t="s">
        <v>50</v>
      </c>
      <c r="E19" s="318"/>
      <c r="F19" s="199" t="s">
        <v>68</v>
      </c>
      <c r="G19" s="202"/>
      <c r="H19" s="202"/>
      <c r="I19" s="200">
        <f t="shared" si="1"/>
        <v>0</v>
      </c>
    </row>
    <row r="20" spans="2:11" x14ac:dyDescent="0.2">
      <c r="B20" s="218">
        <v>8</v>
      </c>
      <c r="C20" s="326" t="str">
        <f t="shared" si="0"/>
        <v/>
      </c>
      <c r="D20" s="327" t="s">
        <v>51</v>
      </c>
      <c r="E20" s="318"/>
      <c r="F20" s="199" t="s">
        <v>68</v>
      </c>
      <c r="G20" s="202"/>
      <c r="H20" s="202"/>
      <c r="I20" s="200">
        <f t="shared" si="1"/>
        <v>0</v>
      </c>
    </row>
    <row r="21" spans="2:11" x14ac:dyDescent="0.2">
      <c r="B21" s="218">
        <v>9</v>
      </c>
      <c r="C21" s="326" t="str">
        <f t="shared" si="0"/>
        <v/>
      </c>
      <c r="D21" s="327" t="s">
        <v>52</v>
      </c>
      <c r="E21" s="318"/>
      <c r="F21" s="199" t="s">
        <v>68</v>
      </c>
      <c r="G21" s="202"/>
      <c r="H21" s="202"/>
      <c r="I21" s="200">
        <f t="shared" si="1"/>
        <v>0</v>
      </c>
    </row>
    <row r="22" spans="2:11" x14ac:dyDescent="0.2">
      <c r="B22" s="218">
        <v>10</v>
      </c>
      <c r="C22" s="326" t="str">
        <f t="shared" si="0"/>
        <v/>
      </c>
      <c r="D22" s="327" t="s">
        <v>53</v>
      </c>
      <c r="E22" s="318"/>
      <c r="F22" s="199" t="s">
        <v>68</v>
      </c>
      <c r="G22" s="202"/>
      <c r="H22" s="202"/>
      <c r="I22" s="200">
        <f t="shared" si="1"/>
        <v>0</v>
      </c>
    </row>
    <row r="23" spans="2:11" x14ac:dyDescent="0.2">
      <c r="B23" s="218">
        <v>11</v>
      </c>
      <c r="C23" s="326" t="str">
        <f t="shared" si="0"/>
        <v/>
      </c>
      <c r="D23" s="327" t="s">
        <v>44</v>
      </c>
      <c r="E23" s="318"/>
      <c r="F23" s="201" t="s">
        <v>69</v>
      </c>
      <c r="G23" s="202"/>
      <c r="H23" s="202"/>
      <c r="I23" s="200">
        <f t="shared" si="1"/>
        <v>0</v>
      </c>
    </row>
    <row r="24" spans="2:11" x14ac:dyDescent="0.2">
      <c r="B24" s="218">
        <v>12</v>
      </c>
      <c r="C24" s="326" t="str">
        <f t="shared" si="0"/>
        <v/>
      </c>
      <c r="D24" s="327" t="s">
        <v>45</v>
      </c>
      <c r="E24" s="318"/>
      <c r="F24" s="201" t="s">
        <v>69</v>
      </c>
      <c r="G24" s="202"/>
      <c r="H24" s="202"/>
      <c r="I24" s="200">
        <f t="shared" si="1"/>
        <v>0</v>
      </c>
    </row>
    <row r="25" spans="2:11" x14ac:dyDescent="0.2">
      <c r="B25" s="218">
        <v>13</v>
      </c>
      <c r="C25" s="326" t="str">
        <f t="shared" si="0"/>
        <v/>
      </c>
      <c r="D25" s="327" t="s">
        <v>46</v>
      </c>
      <c r="E25" s="318"/>
      <c r="F25" s="201" t="s">
        <v>69</v>
      </c>
      <c r="G25" s="202"/>
      <c r="H25" s="202"/>
      <c r="I25" s="200">
        <f t="shared" si="1"/>
        <v>0</v>
      </c>
    </row>
    <row r="26" spans="2:11" x14ac:dyDescent="0.2">
      <c r="B26" s="218">
        <v>14</v>
      </c>
      <c r="C26" s="326" t="str">
        <f t="shared" si="0"/>
        <v/>
      </c>
      <c r="D26" s="327" t="s">
        <v>47</v>
      </c>
      <c r="E26" s="318"/>
      <c r="F26" s="201" t="s">
        <v>69</v>
      </c>
      <c r="G26" s="202"/>
      <c r="H26" s="202"/>
      <c r="I26" s="200">
        <f t="shared" si="1"/>
        <v>0</v>
      </c>
    </row>
    <row r="27" spans="2:11" x14ac:dyDescent="0.2">
      <c r="B27" s="218">
        <v>15</v>
      </c>
      <c r="C27" s="326" t="str">
        <f t="shared" si="0"/>
        <v/>
      </c>
      <c r="D27" s="327" t="s">
        <v>48</v>
      </c>
      <c r="E27" s="318"/>
      <c r="F27" s="201" t="s">
        <v>69</v>
      </c>
      <c r="G27" s="202"/>
      <c r="H27" s="202"/>
      <c r="I27" s="200">
        <f t="shared" si="1"/>
        <v>0</v>
      </c>
    </row>
    <row r="28" spans="2:11" x14ac:dyDescent="0.2">
      <c r="B28" s="218">
        <v>16</v>
      </c>
      <c r="C28" s="326" t="str">
        <f t="shared" si="0"/>
        <v/>
      </c>
      <c r="D28" s="327" t="s">
        <v>49</v>
      </c>
      <c r="E28" s="318"/>
      <c r="F28" s="201" t="s">
        <v>69</v>
      </c>
      <c r="G28" s="202"/>
      <c r="H28" s="202"/>
      <c r="I28" s="200">
        <f t="shared" si="1"/>
        <v>0</v>
      </c>
      <c r="K28" s="330"/>
    </row>
    <row r="29" spans="2:11" x14ac:dyDescent="0.2">
      <c r="B29" s="218">
        <v>17</v>
      </c>
      <c r="C29" s="326" t="str">
        <f t="shared" si="0"/>
        <v/>
      </c>
      <c r="D29" s="327" t="s">
        <v>50</v>
      </c>
      <c r="E29" s="318"/>
      <c r="F29" s="201" t="s">
        <v>69</v>
      </c>
      <c r="G29" s="202"/>
      <c r="H29" s="202"/>
      <c r="I29" s="200">
        <f t="shared" si="1"/>
        <v>0</v>
      </c>
    </row>
    <row r="30" spans="2:11" x14ac:dyDescent="0.2">
      <c r="B30" s="218">
        <v>18</v>
      </c>
      <c r="C30" s="326" t="str">
        <f t="shared" si="0"/>
        <v/>
      </c>
      <c r="D30" s="327" t="s">
        <v>51</v>
      </c>
      <c r="E30" s="318"/>
      <c r="F30" s="201" t="s">
        <v>69</v>
      </c>
      <c r="G30" s="202"/>
      <c r="H30" s="202"/>
      <c r="I30" s="200">
        <f t="shared" si="1"/>
        <v>0</v>
      </c>
    </row>
    <row r="31" spans="2:11" x14ac:dyDescent="0.2">
      <c r="B31" s="218">
        <v>19</v>
      </c>
      <c r="C31" s="326" t="str">
        <f t="shared" si="0"/>
        <v/>
      </c>
      <c r="D31" s="327" t="s">
        <v>52</v>
      </c>
      <c r="E31" s="318"/>
      <c r="F31" s="201" t="s">
        <v>69</v>
      </c>
      <c r="G31" s="202"/>
      <c r="H31" s="202"/>
      <c r="I31" s="200">
        <f t="shared" si="1"/>
        <v>0</v>
      </c>
    </row>
    <row r="32" spans="2:11" x14ac:dyDescent="0.2">
      <c r="B32" s="218">
        <v>20</v>
      </c>
      <c r="C32" s="326" t="str">
        <f t="shared" si="0"/>
        <v/>
      </c>
      <c r="D32" s="327" t="s">
        <v>53</v>
      </c>
      <c r="E32" s="318"/>
      <c r="F32" s="201" t="s">
        <v>69</v>
      </c>
      <c r="G32" s="202"/>
      <c r="H32" s="202"/>
      <c r="I32" s="200">
        <f t="shared" si="1"/>
        <v>0</v>
      </c>
    </row>
    <row r="33" spans="2:9" x14ac:dyDescent="0.2">
      <c r="B33" s="218">
        <v>21</v>
      </c>
      <c r="C33" s="326" t="str">
        <f t="shared" si="0"/>
        <v/>
      </c>
      <c r="D33" s="327" t="s">
        <v>44</v>
      </c>
      <c r="E33" s="318"/>
      <c r="F33" s="201" t="s">
        <v>70</v>
      </c>
      <c r="G33" s="202"/>
      <c r="H33" s="202"/>
      <c r="I33" s="200">
        <f t="shared" si="1"/>
        <v>0</v>
      </c>
    </row>
    <row r="34" spans="2:9" x14ac:dyDescent="0.2">
      <c r="B34" s="218">
        <v>22</v>
      </c>
      <c r="C34" s="326" t="str">
        <f t="shared" si="0"/>
        <v/>
      </c>
      <c r="D34" s="327" t="s">
        <v>45</v>
      </c>
      <c r="E34" s="318"/>
      <c r="F34" s="201" t="s">
        <v>70</v>
      </c>
      <c r="G34" s="202"/>
      <c r="H34" s="202"/>
      <c r="I34" s="200">
        <f t="shared" si="1"/>
        <v>0</v>
      </c>
    </row>
    <row r="35" spans="2:9" x14ac:dyDescent="0.2">
      <c r="B35" s="218">
        <v>23</v>
      </c>
      <c r="C35" s="326" t="str">
        <f t="shared" si="0"/>
        <v/>
      </c>
      <c r="D35" s="327" t="s">
        <v>46</v>
      </c>
      <c r="E35" s="318"/>
      <c r="F35" s="201" t="s">
        <v>70</v>
      </c>
      <c r="G35" s="202"/>
      <c r="H35" s="202"/>
      <c r="I35" s="200">
        <f t="shared" si="1"/>
        <v>0</v>
      </c>
    </row>
    <row r="36" spans="2:9" x14ac:dyDescent="0.2">
      <c r="B36" s="218">
        <v>24</v>
      </c>
      <c r="C36" s="326" t="str">
        <f t="shared" si="0"/>
        <v/>
      </c>
      <c r="D36" s="327" t="s">
        <v>47</v>
      </c>
      <c r="E36" s="318"/>
      <c r="F36" s="201" t="s">
        <v>70</v>
      </c>
      <c r="G36" s="202"/>
      <c r="H36" s="202"/>
      <c r="I36" s="200">
        <f t="shared" si="1"/>
        <v>0</v>
      </c>
    </row>
    <row r="37" spans="2:9" x14ac:dyDescent="0.2">
      <c r="B37" s="218">
        <v>25</v>
      </c>
      <c r="C37" s="326" t="str">
        <f t="shared" si="0"/>
        <v/>
      </c>
      <c r="D37" s="327" t="s">
        <v>48</v>
      </c>
      <c r="E37" s="318"/>
      <c r="F37" s="201" t="s">
        <v>70</v>
      </c>
      <c r="G37" s="202"/>
      <c r="H37" s="202"/>
      <c r="I37" s="200">
        <f t="shared" si="1"/>
        <v>0</v>
      </c>
    </row>
    <row r="38" spans="2:9" x14ac:dyDescent="0.2">
      <c r="B38" s="218">
        <v>26</v>
      </c>
      <c r="C38" s="326" t="str">
        <f t="shared" si="0"/>
        <v/>
      </c>
      <c r="D38" s="327" t="s">
        <v>49</v>
      </c>
      <c r="E38" s="318"/>
      <c r="F38" s="201" t="s">
        <v>70</v>
      </c>
      <c r="G38" s="202"/>
      <c r="H38" s="202"/>
      <c r="I38" s="200">
        <f t="shared" si="1"/>
        <v>0</v>
      </c>
    </row>
    <row r="39" spans="2:9" x14ac:dyDescent="0.2">
      <c r="B39" s="218">
        <v>27</v>
      </c>
      <c r="C39" s="326" t="str">
        <f t="shared" si="0"/>
        <v/>
      </c>
      <c r="D39" s="327" t="s">
        <v>50</v>
      </c>
      <c r="E39" s="318"/>
      <c r="F39" s="201" t="s">
        <v>70</v>
      </c>
      <c r="G39" s="202"/>
      <c r="H39" s="202"/>
      <c r="I39" s="200">
        <f t="shared" si="1"/>
        <v>0</v>
      </c>
    </row>
    <row r="40" spans="2:9" x14ac:dyDescent="0.2">
      <c r="B40" s="218">
        <v>28</v>
      </c>
      <c r="C40" s="326" t="str">
        <f t="shared" si="0"/>
        <v/>
      </c>
      <c r="D40" s="327" t="s">
        <v>51</v>
      </c>
      <c r="E40" s="318"/>
      <c r="F40" s="201" t="s">
        <v>70</v>
      </c>
      <c r="G40" s="202"/>
      <c r="H40" s="202"/>
      <c r="I40" s="200">
        <f t="shared" si="1"/>
        <v>0</v>
      </c>
    </row>
    <row r="41" spans="2:9" x14ac:dyDescent="0.2">
      <c r="B41" s="218">
        <v>29</v>
      </c>
      <c r="C41" s="326" t="str">
        <f t="shared" si="0"/>
        <v/>
      </c>
      <c r="D41" s="327" t="s">
        <v>52</v>
      </c>
      <c r="E41" s="318"/>
      <c r="F41" s="201" t="s">
        <v>70</v>
      </c>
      <c r="G41" s="202"/>
      <c r="H41" s="202"/>
      <c r="I41" s="200">
        <f t="shared" si="1"/>
        <v>0</v>
      </c>
    </row>
    <row r="42" spans="2:9" x14ac:dyDescent="0.2">
      <c r="B42" s="218">
        <v>30</v>
      </c>
      <c r="C42" s="326" t="str">
        <f t="shared" si="0"/>
        <v/>
      </c>
      <c r="D42" s="327" t="s">
        <v>53</v>
      </c>
      <c r="E42" s="318"/>
      <c r="F42" s="201" t="s">
        <v>70</v>
      </c>
      <c r="G42" s="202"/>
      <c r="H42" s="202"/>
      <c r="I42" s="200">
        <f t="shared" si="1"/>
        <v>0</v>
      </c>
    </row>
    <row r="43" spans="2:9" x14ac:dyDescent="0.2">
      <c r="B43" s="218">
        <v>31</v>
      </c>
      <c r="C43" s="326" t="str">
        <f t="shared" si="0"/>
        <v/>
      </c>
      <c r="D43" s="327" t="s">
        <v>44</v>
      </c>
      <c r="E43" s="318"/>
      <c r="F43" s="201" t="s">
        <v>71</v>
      </c>
      <c r="G43" s="202"/>
      <c r="H43" s="202"/>
      <c r="I43" s="200">
        <f t="shared" si="1"/>
        <v>0</v>
      </c>
    </row>
    <row r="44" spans="2:9" x14ac:dyDescent="0.2">
      <c r="B44" s="218">
        <v>32</v>
      </c>
      <c r="C44" s="326" t="str">
        <f t="shared" si="0"/>
        <v/>
      </c>
      <c r="D44" s="327" t="s">
        <v>45</v>
      </c>
      <c r="E44" s="318"/>
      <c r="F44" s="201" t="s">
        <v>71</v>
      </c>
      <c r="G44" s="202"/>
      <c r="H44" s="202"/>
      <c r="I44" s="200">
        <f t="shared" si="1"/>
        <v>0</v>
      </c>
    </row>
    <row r="45" spans="2:9" x14ac:dyDescent="0.2">
      <c r="B45" s="218">
        <v>33</v>
      </c>
      <c r="C45" s="326" t="str">
        <f t="shared" si="0"/>
        <v/>
      </c>
      <c r="D45" s="327" t="s">
        <v>46</v>
      </c>
      <c r="E45" s="318"/>
      <c r="F45" s="201" t="s">
        <v>71</v>
      </c>
      <c r="G45" s="202"/>
      <c r="H45" s="202"/>
      <c r="I45" s="200">
        <f t="shared" si="1"/>
        <v>0</v>
      </c>
    </row>
    <row r="46" spans="2:9" x14ac:dyDescent="0.2">
      <c r="B46" s="218">
        <v>34</v>
      </c>
      <c r="C46" s="326" t="str">
        <f t="shared" si="0"/>
        <v/>
      </c>
      <c r="D46" s="327" t="s">
        <v>47</v>
      </c>
      <c r="E46" s="318"/>
      <c r="F46" s="201" t="s">
        <v>71</v>
      </c>
      <c r="G46" s="202"/>
      <c r="H46" s="202"/>
      <c r="I46" s="200">
        <f t="shared" si="1"/>
        <v>0</v>
      </c>
    </row>
    <row r="47" spans="2:9" x14ac:dyDescent="0.2">
      <c r="B47" s="218">
        <v>35</v>
      </c>
      <c r="C47" s="326" t="str">
        <f t="shared" si="0"/>
        <v/>
      </c>
      <c r="D47" s="327" t="s">
        <v>48</v>
      </c>
      <c r="E47" s="318"/>
      <c r="F47" s="201" t="s">
        <v>71</v>
      </c>
      <c r="G47" s="202"/>
      <c r="H47" s="202"/>
      <c r="I47" s="200">
        <f t="shared" si="1"/>
        <v>0</v>
      </c>
    </row>
    <row r="48" spans="2:9" x14ac:dyDescent="0.2">
      <c r="B48" s="218">
        <v>36</v>
      </c>
      <c r="C48" s="326" t="str">
        <f t="shared" si="0"/>
        <v/>
      </c>
      <c r="D48" s="327" t="s">
        <v>49</v>
      </c>
      <c r="E48" s="318"/>
      <c r="F48" s="201" t="s">
        <v>71</v>
      </c>
      <c r="G48" s="202"/>
      <c r="H48" s="202"/>
      <c r="I48" s="200">
        <f t="shared" si="1"/>
        <v>0</v>
      </c>
    </row>
    <row r="49" spans="2:9" x14ac:dyDescent="0.2">
      <c r="B49" s="218">
        <v>37</v>
      </c>
      <c r="C49" s="326" t="str">
        <f t="shared" si="0"/>
        <v/>
      </c>
      <c r="D49" s="327" t="s">
        <v>50</v>
      </c>
      <c r="E49" s="318"/>
      <c r="F49" s="201" t="s">
        <v>71</v>
      </c>
      <c r="G49" s="202"/>
      <c r="H49" s="202"/>
      <c r="I49" s="200">
        <f t="shared" si="1"/>
        <v>0</v>
      </c>
    </row>
    <row r="50" spans="2:9" x14ac:dyDescent="0.2">
      <c r="B50" s="218">
        <v>38</v>
      </c>
      <c r="C50" s="326" t="str">
        <f t="shared" si="0"/>
        <v/>
      </c>
      <c r="D50" s="327" t="s">
        <v>51</v>
      </c>
      <c r="E50" s="318"/>
      <c r="F50" s="201" t="s">
        <v>71</v>
      </c>
      <c r="G50" s="202"/>
      <c r="H50" s="202"/>
      <c r="I50" s="200">
        <f t="shared" si="1"/>
        <v>0</v>
      </c>
    </row>
    <row r="51" spans="2:9" x14ac:dyDescent="0.2">
      <c r="B51" s="218">
        <v>39</v>
      </c>
      <c r="C51" s="326" t="str">
        <f t="shared" si="0"/>
        <v/>
      </c>
      <c r="D51" s="327" t="s">
        <v>52</v>
      </c>
      <c r="E51" s="318"/>
      <c r="F51" s="201" t="s">
        <v>71</v>
      </c>
      <c r="G51" s="202"/>
      <c r="H51" s="202"/>
      <c r="I51" s="200">
        <f t="shared" si="1"/>
        <v>0</v>
      </c>
    </row>
    <row r="52" spans="2:9" x14ac:dyDescent="0.2">
      <c r="B52" s="218">
        <v>40</v>
      </c>
      <c r="C52" s="326" t="str">
        <f t="shared" si="0"/>
        <v/>
      </c>
      <c r="D52" s="327" t="s">
        <v>53</v>
      </c>
      <c r="E52" s="318"/>
      <c r="F52" s="201" t="s">
        <v>71</v>
      </c>
      <c r="G52" s="202"/>
      <c r="H52" s="202"/>
      <c r="I52" s="200">
        <f t="shared" si="1"/>
        <v>0</v>
      </c>
    </row>
  </sheetData>
  <sheetProtection sheet="1" objects="1" scenarios="1" formatColumns="0" formatRows="0" selectLockedCells="1"/>
  <mergeCells count="2">
    <mergeCell ref="B7:C7"/>
    <mergeCell ref="B1:D1"/>
  </mergeCells>
  <dataValidations count="1">
    <dataValidation type="list" allowBlank="1" showInputMessage="1" showErrorMessage="1" sqref="E13:E52" xr:uid="{00000000-0002-0000-0B00-000000000000}">
      <formula1>Cost_Report_Stage</formula1>
    </dataValidation>
  </dataValidations>
  <hyperlinks>
    <hyperlink ref="B1" location="'2. Summary'!A1" display="Back to Summary" xr:uid="{00000000-0004-0000-0B00-000000000000}"/>
    <hyperlink ref="B1:D1" location="'2. Component Summary'!A1" display="Back to Summary" xr:uid="{00000000-0004-0000-0B00-000001000000}"/>
  </hyperlinks>
  <pageMargins left="0.25" right="0.25" top="0.98" bottom="0.75" header="0.3" footer="0.3"/>
  <pageSetup paperSize="17" scale="85" orientation="portrait" r:id="rId1"/>
  <headerFooter>
    <oddHeader xml:space="preserve">&amp;C&amp;"Arial,Regular"&amp;16Annual Mental Health Services Act Revenue and Expenditure Report for                   
Fiscal Year 2016-17      
FFP Revenue Adjustment      
</oddHeader>
    <oddFooter>&amp;C&amp;"Arial,Regular"&amp;16Page &amp;P of &amp;N</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dimension ref="A1:Q68"/>
  <sheetViews>
    <sheetView zoomScale="85" zoomScaleNormal="85" workbookViewId="0">
      <selection activeCell="C11" sqref="C11"/>
    </sheetView>
  </sheetViews>
  <sheetFormatPr defaultColWidth="0" defaultRowHeight="15" zeroHeight="1" x14ac:dyDescent="0.2"/>
  <cols>
    <col min="1" max="1" width="2.7109375" style="216" customWidth="1"/>
    <col min="2" max="2" width="9.140625" style="216" customWidth="1"/>
    <col min="3" max="3" width="137" style="216" customWidth="1"/>
    <col min="4" max="17" width="0" style="216" hidden="1" customWidth="1"/>
    <col min="18" max="16384" width="9.140625" style="216" hidden="1"/>
  </cols>
  <sheetData>
    <row r="1" spans="1:6" x14ac:dyDescent="0.2">
      <c r="A1" s="406" t="s">
        <v>229</v>
      </c>
      <c r="B1" s="406"/>
      <c r="C1" s="406"/>
    </row>
    <row r="2" spans="1:6" x14ac:dyDescent="0.2">
      <c r="A2" s="365"/>
      <c r="B2" s="365"/>
      <c r="C2" s="365"/>
    </row>
    <row r="3" spans="1:6" s="226" customFormat="1" ht="18" x14ac:dyDescent="0.2">
      <c r="B3" s="343" t="s">
        <v>263</v>
      </c>
      <c r="C3" s="165"/>
      <c r="D3" s="165"/>
      <c r="E3" s="165"/>
      <c r="F3" s="165"/>
    </row>
    <row r="4" spans="1:6" s="226" customFormat="1" ht="18" x14ac:dyDescent="0.2">
      <c r="B4" s="343" t="s">
        <v>0</v>
      </c>
      <c r="C4" s="165"/>
      <c r="D4" s="165"/>
      <c r="E4" s="165"/>
      <c r="F4" s="165"/>
    </row>
    <row r="5" spans="1:6" s="226" customFormat="1" ht="18" x14ac:dyDescent="0.2">
      <c r="B5" s="348" t="s">
        <v>313</v>
      </c>
      <c r="C5" s="197"/>
      <c r="D5" s="197"/>
      <c r="E5" s="197"/>
      <c r="F5" s="197"/>
    </row>
    <row r="6" spans="1:6" s="226" customFormat="1" ht="18" x14ac:dyDescent="0.2">
      <c r="B6" s="348"/>
      <c r="C6" s="197"/>
      <c r="D6" s="197"/>
      <c r="E6" s="197"/>
      <c r="F6" s="197"/>
    </row>
    <row r="7" spans="1:6" ht="15.75" x14ac:dyDescent="0.25">
      <c r="B7" s="369"/>
      <c r="C7" s="366" t="s">
        <v>313</v>
      </c>
    </row>
    <row r="8" spans="1:6" ht="33.75" customHeight="1" x14ac:dyDescent="0.2">
      <c r="B8" s="370">
        <v>1</v>
      </c>
      <c r="C8" s="367"/>
    </row>
    <row r="9" spans="1:6" ht="33.75" customHeight="1" x14ac:dyDescent="0.2">
      <c r="B9" s="371">
        <v>2</v>
      </c>
      <c r="C9" s="375"/>
    </row>
    <row r="10" spans="1:6" ht="33.75" customHeight="1" x14ac:dyDescent="0.2">
      <c r="B10" s="371">
        <v>3</v>
      </c>
      <c r="C10" s="368"/>
    </row>
    <row r="11" spans="1:6" ht="33.75" customHeight="1" x14ac:dyDescent="0.2">
      <c r="B11" s="370">
        <v>4</v>
      </c>
      <c r="C11" s="368"/>
    </row>
    <row r="12" spans="1:6" ht="33.75" customHeight="1" x14ac:dyDescent="0.2">
      <c r="B12" s="371">
        <v>5</v>
      </c>
      <c r="C12" s="368"/>
    </row>
    <row r="13" spans="1:6" ht="33.75" customHeight="1" x14ac:dyDescent="0.2">
      <c r="B13" s="371">
        <v>6</v>
      </c>
      <c r="C13" s="368"/>
    </row>
    <row r="14" spans="1:6" ht="33.75" customHeight="1" x14ac:dyDescent="0.2">
      <c r="B14" s="370">
        <v>7</v>
      </c>
      <c r="C14" s="368"/>
    </row>
    <row r="15" spans="1:6" ht="33.75" customHeight="1" x14ac:dyDescent="0.2">
      <c r="B15" s="371">
        <v>8</v>
      </c>
      <c r="C15" s="368"/>
    </row>
    <row r="16" spans="1:6" ht="33.75" customHeight="1" x14ac:dyDescent="0.2">
      <c r="B16" s="371">
        <v>9</v>
      </c>
      <c r="C16" s="368"/>
    </row>
    <row r="17" spans="2:3" ht="33.75" customHeight="1" x14ac:dyDescent="0.2">
      <c r="B17" s="370">
        <v>10</v>
      </c>
      <c r="C17" s="368"/>
    </row>
    <row r="18" spans="2:3" ht="33.75" customHeight="1" x14ac:dyDescent="0.2">
      <c r="B18" s="371">
        <v>11</v>
      </c>
      <c r="C18" s="368"/>
    </row>
    <row r="19" spans="2:3" ht="33.75" customHeight="1" x14ac:dyDescent="0.2">
      <c r="B19" s="371">
        <v>12</v>
      </c>
      <c r="C19" s="368"/>
    </row>
    <row r="20" spans="2:3" ht="33.75" customHeight="1" x14ac:dyDescent="0.2">
      <c r="B20" s="370">
        <v>13</v>
      </c>
      <c r="C20" s="368"/>
    </row>
    <row r="21" spans="2:3" ht="33.75" customHeight="1" x14ac:dyDescent="0.2">
      <c r="B21" s="371">
        <v>14</v>
      </c>
      <c r="C21" s="368"/>
    </row>
    <row r="22" spans="2:3" ht="33.75" customHeight="1" x14ac:dyDescent="0.2">
      <c r="B22" s="371">
        <v>15</v>
      </c>
      <c r="C22" s="368"/>
    </row>
    <row r="23" spans="2:3" ht="33.75" customHeight="1" x14ac:dyDescent="0.2">
      <c r="B23" s="370">
        <v>16</v>
      </c>
      <c r="C23" s="368"/>
    </row>
    <row r="24" spans="2:3" ht="33.75" customHeight="1" x14ac:dyDescent="0.2">
      <c r="B24" s="371">
        <v>17</v>
      </c>
      <c r="C24" s="368"/>
    </row>
    <row r="25" spans="2:3" ht="33.75" customHeight="1" x14ac:dyDescent="0.2">
      <c r="B25" s="371">
        <v>18</v>
      </c>
      <c r="C25" s="368"/>
    </row>
    <row r="26" spans="2:3" ht="33.75" customHeight="1" x14ac:dyDescent="0.2">
      <c r="B26" s="370">
        <v>19</v>
      </c>
      <c r="C26" s="368"/>
    </row>
    <row r="27" spans="2:3" ht="33.75" customHeight="1" x14ac:dyDescent="0.2">
      <c r="B27" s="371">
        <v>20</v>
      </c>
      <c r="C27" s="368"/>
    </row>
    <row r="28" spans="2:3" ht="33.75" customHeight="1" x14ac:dyDescent="0.2">
      <c r="B28" s="371">
        <v>21</v>
      </c>
      <c r="C28" s="368"/>
    </row>
    <row r="29" spans="2:3" ht="33.75" customHeight="1" x14ac:dyDescent="0.2">
      <c r="B29" s="370">
        <v>22</v>
      </c>
      <c r="C29" s="368"/>
    </row>
    <row r="30" spans="2:3" ht="33.75" customHeight="1" x14ac:dyDescent="0.2">
      <c r="B30" s="371">
        <v>23</v>
      </c>
      <c r="C30" s="368"/>
    </row>
    <row r="31" spans="2:3" ht="33.75" customHeight="1" x14ac:dyDescent="0.2">
      <c r="B31" s="371">
        <v>24</v>
      </c>
      <c r="C31" s="368"/>
    </row>
    <row r="32" spans="2:3" ht="33.75" customHeight="1" x14ac:dyDescent="0.2">
      <c r="B32" s="370">
        <v>25</v>
      </c>
      <c r="C32" s="368"/>
    </row>
    <row r="33" spans="2:3" ht="33.75" customHeight="1" x14ac:dyDescent="0.2">
      <c r="B33" s="371">
        <v>26</v>
      </c>
      <c r="C33" s="368"/>
    </row>
    <row r="34" spans="2:3" ht="33.75" customHeight="1" x14ac:dyDescent="0.2">
      <c r="B34" s="371">
        <v>27</v>
      </c>
      <c r="C34" s="368"/>
    </row>
    <row r="35" spans="2:3" ht="33.75" customHeight="1" x14ac:dyDescent="0.2">
      <c r="B35" s="370">
        <v>28</v>
      </c>
      <c r="C35" s="368"/>
    </row>
    <row r="36" spans="2:3" ht="33.75" customHeight="1" x14ac:dyDescent="0.2">
      <c r="B36" s="371">
        <v>29</v>
      </c>
      <c r="C36" s="368"/>
    </row>
    <row r="37" spans="2:3" ht="33.75" customHeight="1" x14ac:dyDescent="0.2">
      <c r="B37" s="371">
        <v>30</v>
      </c>
      <c r="C37" s="368"/>
    </row>
    <row r="38" spans="2:3" ht="33.75" customHeight="1" x14ac:dyDescent="0.2">
      <c r="B38" s="370">
        <v>31</v>
      </c>
      <c r="C38" s="368"/>
    </row>
    <row r="39" spans="2:3" ht="33.75" customHeight="1" x14ac:dyDescent="0.2">
      <c r="B39" s="371">
        <v>32</v>
      </c>
      <c r="C39" s="368"/>
    </row>
    <row r="40" spans="2:3" ht="33.75" customHeight="1" x14ac:dyDescent="0.2">
      <c r="B40" s="371">
        <v>33</v>
      </c>
      <c r="C40" s="368"/>
    </row>
    <row r="41" spans="2:3" ht="33.75" customHeight="1" x14ac:dyDescent="0.2">
      <c r="B41" s="370">
        <v>34</v>
      </c>
      <c r="C41" s="368"/>
    </row>
    <row r="42" spans="2:3" ht="33.75" customHeight="1" x14ac:dyDescent="0.2">
      <c r="B42" s="371">
        <v>35</v>
      </c>
      <c r="C42" s="368"/>
    </row>
    <row r="43" spans="2:3" ht="33.75" customHeight="1" x14ac:dyDescent="0.2">
      <c r="B43" s="371">
        <v>36</v>
      </c>
      <c r="C43" s="368"/>
    </row>
    <row r="44" spans="2:3" ht="33.75" customHeight="1" x14ac:dyDescent="0.2">
      <c r="B44" s="370">
        <v>37</v>
      </c>
      <c r="C44" s="368"/>
    </row>
    <row r="45" spans="2:3" ht="33.75" customHeight="1" x14ac:dyDescent="0.2">
      <c r="B45" s="371">
        <v>38</v>
      </c>
      <c r="C45" s="368"/>
    </row>
    <row r="46" spans="2:3" ht="33.75" customHeight="1" x14ac:dyDescent="0.2">
      <c r="B46" s="370">
        <v>39</v>
      </c>
      <c r="C46" s="368"/>
    </row>
    <row r="47" spans="2:3" ht="33.75" customHeight="1" x14ac:dyDescent="0.2">
      <c r="B47" s="371">
        <v>40</v>
      </c>
      <c r="C47" s="375"/>
    </row>
    <row r="50" spans="10:17" hidden="1" x14ac:dyDescent="0.2">
      <c r="Q50" s="372"/>
    </row>
    <row r="61" spans="10:17" hidden="1" x14ac:dyDescent="0.2">
      <c r="J61" s="373"/>
    </row>
    <row r="65" spans="11:14" hidden="1" x14ac:dyDescent="0.2">
      <c r="K65" s="374"/>
    </row>
    <row r="67" spans="11:14" hidden="1" x14ac:dyDescent="0.2">
      <c r="L67" s="372"/>
    </row>
    <row r="68" spans="11:14" hidden="1" x14ac:dyDescent="0.2">
      <c r="N68" s="372"/>
    </row>
  </sheetData>
  <sheetProtection sheet="1" formatColumns="0" formatRows="0" selectLockedCells="1" selectUnlockedCells="1"/>
  <mergeCells count="1">
    <mergeCell ref="A1:C1"/>
  </mergeCells>
  <hyperlinks>
    <hyperlink ref="A1" location="'2. Summary'!A1" display="Back to Summary" xr:uid="{00000000-0004-0000-0C00-000000000000}"/>
    <hyperlink ref="A1:C1" location="'2. Component Summary'!A1" display="Back to Summary" xr:uid="{00000000-0004-0000-0C00-000001000000}"/>
  </hyperlinks>
  <pageMargins left="0.7" right="0.7" top="1.1979166666666701" bottom="0.75" header="0.3" footer="0.3"/>
  <pageSetup paperSize="5" orientation="landscape" verticalDpi="0" r:id="rId1"/>
  <headerFooter>
    <oddHeader xml:space="preserve">&amp;CAnnual Mental Health Services Act Revenue and Expenditure Report for                   
Fiscal Year 2016-17      
Comments
</oddHeader>
    <oddFooter>&amp;CPage &amp;P of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LongProperties xmlns="http://schemas.microsoft.com/office/2006/metadata/longProperti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ct:contentTypeSchema xmlns:ct="http://schemas.microsoft.com/office/2006/metadata/contentType" xmlns:ma="http://schemas.microsoft.com/office/2006/metadata/properties/metaAttributes" ct:_="" ma:_="" ma:contentTypeName="Document" ma:contentTypeID="0x0101000DD778A44A894D44A57135C48A267F0A" ma:contentTypeVersion="0" ma:contentTypeDescription="Create a new document." ma:contentTypeScope="" ma:versionID="ff335c541625bd790cabe8a2ece69268">
  <xsd:schema xmlns:xsd="http://www.w3.org/2001/XMLSchema" xmlns:xs="http://www.w3.org/2001/XMLSchema" xmlns:p="http://schemas.microsoft.com/office/2006/metadata/properties" targetNamespace="http://schemas.microsoft.com/office/2006/metadata/properties" ma:root="true" ma:fieldsID="1b05d82d297216baf5b26c55225140df">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5.xml><?xml version="1.0" encoding="utf-8"?>
<ct:contentTypeSchema xmlns:ct="http://schemas.microsoft.com/office/2006/metadata/contentType" xmlns:ma="http://schemas.microsoft.com/office/2006/metadata/properties/metaAttributes" ct:_="" ma:_="" ma:contentTypeName="DHCS Document" ma:contentTypeID="0x010100EEE380F46F125946A8B4C4C90D9FFCDC007AFD65907485414FB1C80FEA41AE23F3" ma:contentTypeVersion="22" ma:contentTypeDescription="This is the Custom Document Type for use by DHCS" ma:contentTypeScope="" ma:versionID="ed619a8664b6a8281d97f403562f1b0e">
  <xsd:schema xmlns:xsd="http://www.w3.org/2001/XMLSchema" xmlns:xs="http://www.w3.org/2001/XMLSchema" xmlns:p="http://schemas.microsoft.com/office/2006/metadata/properties" xmlns:ns1="http://schemas.microsoft.com/sharepoint/v3" xmlns:ns2="69bc34b3-1921-46c7-8c7a-d18363374b4b" xmlns:ns3="c1c1dc04-eeda-4b6e-b2df-40979f5da1d3" targetNamespace="http://schemas.microsoft.com/office/2006/metadata/properties" ma:root="true" ma:fieldsID="d6b18e05db21fd7ec08f5784cff6b160" ns1:_="" ns2:_="" ns3:_="">
    <xsd:import namespace="http://schemas.microsoft.com/sharepoint/v3"/>
    <xsd:import namespace="69bc34b3-1921-46c7-8c7a-d18363374b4b"/>
    <xsd:import namespace="c1c1dc04-eeda-4b6e-b2df-40979f5da1d3"/>
    <xsd:element name="properties">
      <xsd:complexType>
        <xsd:sequence>
          <xsd:element name="documentManagement">
            <xsd:complexType>
              <xsd:all>
                <xsd:element ref="ns2:Organization"/>
                <xsd:element ref="ns2:Publication_x0020_Type" minOccurs="0"/>
                <xsd:element ref="ns2:Abstract" minOccurs="0"/>
                <xsd:element ref="ns3:Reading_x0020_Level" minOccurs="0"/>
                <xsd:element ref="ns1:PublishingContactName" minOccurs="0"/>
                <xsd:element ref="ns1:Language" minOccurs="0"/>
                <xsd:element ref="ns2:TAGAge" minOccurs="0"/>
                <xsd:element ref="ns2:TAGBusPart" minOccurs="0"/>
                <xsd:element ref="ns2:TAGender" minOccurs="0"/>
                <xsd:element ref="ns2:TAGEthnicity" minOccurs="0"/>
                <xsd:element ref="ns2:Topics" minOccurs="0"/>
                <xsd:element ref="ns3:SharedWithUsers" minOccurs="0"/>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ContactName" ma:index="6" nillable="true" ma:displayName="Contact Name" ma:description="Contact Name is a site column created by the Publishing feature. It is used on the Page Content Type as the name of the person or group who is the contact person for the page." ma:internalName="PublishingContactName">
      <xsd:simpleType>
        <xsd:restriction base="dms:Text">
          <xsd:maxLength value="255"/>
        </xsd:restriction>
      </xsd:simpleType>
    </xsd:element>
    <xsd:element name="Language" ma:index="8" nillable="true" ma:displayName="Language" ma:default="English" ma:internalName="Language">
      <xsd:simpleType>
        <xsd:union memberTypes="dms:Text">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urkey)"/>
              <xsd:enumeration value="Ukrainian (Ukraine)"/>
              <xsd:enumeration value="Urdu (Islamic Republic of Pakistan)"/>
              <xsd:enumeration value="Vietnamese (Vietnam)"/>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69bc34b3-1921-46c7-8c7a-d18363374b4b" elementFormDefault="qualified">
    <xsd:import namespace="http://schemas.microsoft.com/office/2006/documentManagement/types"/>
    <xsd:import namespace="http://schemas.microsoft.com/office/infopath/2007/PartnerControls"/>
    <xsd:element name="Organization" ma:index="2" ma:displayName="Organization" ma:list="2ddb1181-b291-4e5e-950b-c2e820c0d208" ma:internalName="Organization" ma:showField="Title" ma:web="69bc34b3-1921-46c7-8c7a-d18363374b4b">
      <xsd:simpleType>
        <xsd:restriction base="dms:Lookup"/>
      </xsd:simpleType>
    </xsd:element>
    <xsd:element name="Publication_x0020_Type" ma:index="3" nillable="true" ma:displayName="Publication Type" ma:list="adfece1d-3b17-431b-8151-7ebe638708da" ma:internalName="Publication_x0020_Type" ma:showField="Title" ma:web="69bc34b3-1921-46c7-8c7a-d18363374b4b">
      <xsd:simpleType>
        <xsd:restriction base="dms:Lookup"/>
      </xsd:simpleType>
    </xsd:element>
    <xsd:element name="Abstract" ma:index="4" nillable="true" ma:displayName="Abstract" ma:internalName="Abstract">
      <xsd:simpleType>
        <xsd:restriction base="dms:Note">
          <xsd:maxLength value="255"/>
        </xsd:restriction>
      </xsd:simpleType>
    </xsd:element>
    <xsd:element name="TAGAge" ma:index="9" nillable="true" ma:displayName="TAGAge" ma:list="379e5c79-d9c3-4952-a067-e05980d12f7d" ma:internalName="TAGAge" ma:showField="Title" ma:web="69bc34b3-1921-46c7-8c7a-d18363374b4b">
      <xsd:simpleType>
        <xsd:restriction base="dms:Lookup"/>
      </xsd:simpleType>
    </xsd:element>
    <xsd:element name="TAGBusPart" ma:index="10" nillable="true" ma:displayName="TAGBusPart" ma:list="e6599d1e-16c4-4dcc-aa83-4b926728b2ff" ma:internalName="TAGBusPart" ma:showField="Title" ma:web="69bc34b3-1921-46c7-8c7a-d18363374b4b">
      <xsd:simpleType>
        <xsd:restriction base="dms:Lookup"/>
      </xsd:simpleType>
    </xsd:element>
    <xsd:element name="TAGender" ma:index="11" nillable="true" ma:displayName="TAGender" ma:list="1fedfd00-9c5a-428a-8fed-99736ec43d80" ma:internalName="TAGender" ma:showField="Title" ma:web="69bc34b3-1921-46c7-8c7a-d18363374b4b">
      <xsd:simpleType>
        <xsd:restriction base="dms:Lookup"/>
      </xsd:simpleType>
    </xsd:element>
    <xsd:element name="TAGEthnicity" ma:index="12" nillable="true" ma:displayName="TAGEthnicity" ma:list="90ba1348-e3b2-4d32-9e12-e8a4f76c577a" ma:internalName="TAGEthnicity" ma:showField="Title" ma:web="69bc34b3-1921-46c7-8c7a-d18363374b4b">
      <xsd:simpleType>
        <xsd:restriction base="dms:Lookup"/>
      </xsd:simpleType>
    </xsd:element>
    <xsd:element name="Topics" ma:index="13" nillable="true" ma:displayName="Topics" ma:list="d882c70e-9a2a-4ac7-bf8a-63d5b11e81e5" ma:internalName="Topics" ma:showField="Title" ma:web="69bc34b3-1921-46c7-8c7a-d18363374b4b">
      <xsd:simpleType>
        <xsd:restriction base="dms:Lookup"/>
      </xsd:simpleType>
    </xsd:element>
    <xsd:element name="_dlc_DocId" ma:index="21" nillable="true" ma:displayName="Document ID Value" ma:description="The value of the document ID assigned to this item." ma:internalName="_dlc_DocId" ma:readOnly="true">
      <xsd:simpleType>
        <xsd:restriction base="dms:Text"/>
      </xsd:simpleType>
    </xsd:element>
    <xsd:element name="_dlc_DocIdUrl" ma:index="22"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3"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c1c1dc04-eeda-4b6e-b2df-40979f5da1d3" elementFormDefault="qualified">
    <xsd:import namespace="http://schemas.microsoft.com/office/2006/documentManagement/types"/>
    <xsd:import namespace="http://schemas.microsoft.com/office/infopath/2007/PartnerControls"/>
    <xsd:element name="Reading_x0020_Level" ma:index="5" nillable="true" ma:displayName="Reading Level" ma:format="Dropdown" ma:internalName="Reading_x0020_Level" ma:readOnly="false">
      <xsd:simpleType>
        <xsd:restriction base="dms:Choice">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2+"/>
        </xsd:restriction>
      </xsd:simpleType>
    </xsd:element>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7" ma:displayName="Content Type"/>
        <xsd:element ref="dc:title" maxOccurs="1" ma:index="1" ma:displayName="Title"/>
        <xsd:element ref="dc:subject" minOccurs="0" maxOccurs="1"/>
        <xsd:element ref="dc:description" minOccurs="0" maxOccurs="1"/>
        <xsd:element name="keywords" minOccurs="0" maxOccurs="1" type="xsd:string" ma:index="7"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F59D738-0CC6-4F5A-B6EC-3C833DF17984}">
  <ds:schemaRefs>
    <ds:schemaRef ds:uri="http://schemas.microsoft.com/office/2006/metadata/longProperties"/>
  </ds:schemaRefs>
</ds:datastoreItem>
</file>

<file path=customXml/itemProps2.xml><?xml version="1.0" encoding="utf-8"?>
<ds:datastoreItem xmlns:ds="http://schemas.openxmlformats.org/officeDocument/2006/customXml" ds:itemID="{47DA628B-281C-47F0-BDA1-BBA188C1D443}">
  <ds:schemaRefs>
    <ds:schemaRef ds:uri="http://schemas.microsoft.com/office/2006/metadata/properties"/>
    <ds:schemaRef ds:uri="http://schemas.microsoft.com/office/infopath/2007/PartnerControls"/>
    <ds:schemaRef ds:uri="http://schemas.microsoft.com/sharepoint/v3"/>
    <ds:schemaRef ds:uri="69bc34b3-1921-46c7-8c7a-d18363374b4b"/>
    <ds:schemaRef ds:uri="c1c1dc04-eeda-4b6e-b2df-40979f5da1d3"/>
  </ds:schemaRefs>
</ds:datastoreItem>
</file>

<file path=customXml/itemProps3.xml><?xml version="1.0" encoding="utf-8"?>
<ds:datastoreItem xmlns:ds="http://schemas.openxmlformats.org/officeDocument/2006/customXml" ds:itemID="{B4F4402C-192B-4AA1-B84E-1B4AF7332AED}">
  <ds:schemaRefs>
    <ds:schemaRef ds:uri="http://schemas.microsoft.com/sharepoint/v3/contenttype/forms"/>
  </ds:schemaRefs>
</ds:datastoreItem>
</file>

<file path=customXml/itemProps4.xml><?xml version="1.0" encoding="utf-8"?>
<ds:datastoreItem xmlns:ds="http://schemas.openxmlformats.org/officeDocument/2006/customXml" ds:itemID="{A7D64A35-DE26-4013-8D79-1FBD8E912A80}"/>
</file>

<file path=customXml/itemProps5.xml><?xml version="1.0" encoding="utf-8"?>
<ds:datastoreItem xmlns:ds="http://schemas.openxmlformats.org/officeDocument/2006/customXml" ds:itemID="{A839B3AD-11BA-4675-B067-BC621D077D7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9bc34b3-1921-46c7-8c7a-d18363374b4b"/>
    <ds:schemaRef ds:uri="c1c1dc04-eeda-4b6e-b2df-40979f5da1d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12</vt:i4>
      </vt:variant>
    </vt:vector>
  </HeadingPairs>
  <TitlesOfParts>
    <vt:vector size="25" baseType="lpstr">
      <vt:lpstr>DHCS Only</vt:lpstr>
      <vt:lpstr>Instructions</vt:lpstr>
      <vt:lpstr>1. Information</vt:lpstr>
      <vt:lpstr>2. Component Summary</vt:lpstr>
      <vt:lpstr>3. CSS</vt:lpstr>
      <vt:lpstr>4. PEI</vt:lpstr>
      <vt:lpstr>5. INN</vt:lpstr>
      <vt:lpstr>6. WET</vt:lpstr>
      <vt:lpstr>7. CFTN</vt:lpstr>
      <vt:lpstr>8. TTACB, WET RP, HP</vt:lpstr>
      <vt:lpstr>9. Adjustment (MHSA)</vt:lpstr>
      <vt:lpstr>10. Adjustment (FFP)</vt:lpstr>
      <vt:lpstr>11. Comments</vt:lpstr>
      <vt:lpstr>'1. Information'!Print_Area</vt:lpstr>
      <vt:lpstr>'10. Adjustment (FFP)'!Print_Area</vt:lpstr>
      <vt:lpstr>'2. Component Summary'!Print_Area</vt:lpstr>
      <vt:lpstr>'3. CSS'!Print_Area</vt:lpstr>
      <vt:lpstr>'4. PEI'!Print_Area</vt:lpstr>
      <vt:lpstr>'5. INN'!Print_Area</vt:lpstr>
      <vt:lpstr>'6. WET'!Print_Area</vt:lpstr>
      <vt:lpstr>'7. CFTN'!Print_Area</vt:lpstr>
      <vt:lpstr>'8. TTACB, WET RP, HP'!Print_Area</vt:lpstr>
      <vt:lpstr>'9. Adjustment (MHSA)'!Print_Area</vt:lpstr>
      <vt:lpstr>Instructions!Print_Area</vt:lpstr>
      <vt:lpstr>'2. Component Summary'!Print_Titles</vt:lpstr>
    </vt:vector>
  </TitlesOfParts>
  <Company>DHCS &amp; CDPH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Shasta_FY16-17_RER_ADA</dc:title>
  <dc:creator>Donna Ures</dc:creator>
  <cp:keywords>Shasta_FY16-17_RER_ADA</cp:keywords>
  <cp:lastModifiedBy>westj</cp:lastModifiedBy>
  <cp:lastPrinted>2018-03-13T22:51:19Z</cp:lastPrinted>
  <dcterms:created xsi:type="dcterms:W3CDTF">2017-07-05T19:48:18Z</dcterms:created>
  <dcterms:modified xsi:type="dcterms:W3CDTF">2020-11-09T19:25:43Z</dcterms:modified>
  <cp:contentStatus>Not Started</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isplay_urn:schemas-microsoft-com:office:office#Editor">
    <vt:lpwstr>System Account</vt:lpwstr>
  </property>
  <property fmtid="{D5CDD505-2E9C-101B-9397-08002B2CF9AE}" pid="3" name="display_urn:schemas-microsoft-com:office:office#Author">
    <vt:lpwstr>John SS01. Trapper</vt:lpwstr>
  </property>
  <property fmtid="{D5CDD505-2E9C-101B-9397-08002B2CF9AE}" pid="4" name="_dlc_DocId">
    <vt:lpwstr>DHCSDOC-1363137784-3373</vt:lpwstr>
  </property>
  <property fmtid="{D5CDD505-2E9C-101B-9397-08002B2CF9AE}" pid="5" name="_dlc_DocIdItemGuid">
    <vt:lpwstr>4d6c577b-2e43-4780-b96e-1363adb2a3f2</vt:lpwstr>
  </property>
  <property fmtid="{D5CDD505-2E9C-101B-9397-08002B2CF9AE}" pid="6" name="_dlc_DocIdUrl">
    <vt:lpwstr>http://dhcs2016prod:88/services/MH/_layouts/15/DocIdRedir.aspx?ID=DHCSDOC-1363137784-3373, DHCSDOC-1363137784-3373</vt:lpwstr>
  </property>
  <property fmtid="{D5CDD505-2E9C-101B-9397-08002B2CF9AE}" pid="7" name="ContentTypeId">
    <vt:lpwstr>0x0101000DD778A44A894D44A57135C48A267F0A</vt:lpwstr>
  </property>
</Properties>
</file>