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316AF4FF-6532-DD95-964C-923D217D005E}"/>
  <fileSharing readOnlyRecommended="1"/>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F3E8D697-7FDF-4BB3-A46F-977E19DBAA31}"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fields'!$J$2:$J$10</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Summary'!$B$6:$N$102</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(MHSA)'!$B$6:$G$38</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O45" i="1" l="1"/>
  <c r="O58" i="1"/>
  <c r="O16" i="1"/>
  <c r="O16" i="2"/>
  <c r="O63" i="1"/>
  <c r="U29" i="5"/>
  <c r="Q30" i="3"/>
  <c r="X30" i="3"/>
  <c r="X31" i="3" s="1"/>
  <c r="U29" i="6"/>
  <c r="E28" i="17"/>
  <c r="D7" i="12"/>
  <c r="G7" i="14"/>
  <c r="G7" i="10"/>
  <c r="G7" i="7"/>
  <c r="G7" i="6"/>
  <c r="G7" i="5"/>
  <c r="G7" i="3"/>
  <c r="G7" i="2"/>
  <c r="G7" i="1"/>
  <c r="D7" i="14"/>
  <c r="D7" i="10"/>
  <c r="D7" i="7"/>
  <c r="D7" i="6"/>
  <c r="D7" i="5"/>
  <c r="C33" i="5" s="1"/>
  <c r="D7" i="3"/>
  <c r="D7" i="2"/>
  <c r="C53" i="2" s="1"/>
  <c r="C70" i="17"/>
  <c r="B70" i="17"/>
  <c r="E70" i="17" s="1"/>
  <c r="E69" i="17"/>
  <c r="C68" i="17"/>
  <c r="B68" i="17"/>
  <c r="E68" i="17" s="1"/>
  <c r="D5" i="19"/>
  <c r="C66" i="2"/>
  <c r="C65" i="2"/>
  <c r="C64" i="2"/>
  <c r="C63" i="2"/>
  <c r="C62" i="2"/>
  <c r="C61" i="2"/>
  <c r="C60" i="2"/>
  <c r="C59" i="2"/>
  <c r="C58" i="2"/>
  <c r="C57" i="2"/>
  <c r="C56" i="2"/>
  <c r="C55" i="2"/>
  <c r="C54" i="2"/>
  <c r="C51" i="2"/>
  <c r="C50" i="2"/>
  <c r="C49" i="2"/>
  <c r="C47" i="2"/>
  <c r="C46" i="2"/>
  <c r="C45" i="2"/>
  <c r="C43" i="2"/>
  <c r="C42" i="2"/>
  <c r="C41" i="2"/>
  <c r="C39" i="2"/>
  <c r="C38" i="2"/>
  <c r="C37" i="2"/>
  <c r="W22" i="6"/>
  <c r="V22" i="6"/>
  <c r="U22" i="6"/>
  <c r="T22" i="6"/>
  <c r="S22" i="6"/>
  <c r="R22" i="6"/>
  <c r="Q22" i="6"/>
  <c r="P22" i="6"/>
  <c r="O22" i="6"/>
  <c r="N22" i="6"/>
  <c r="M22" i="6"/>
  <c r="K22" i="6" s="1"/>
  <c r="L22" i="6"/>
  <c r="W21" i="5"/>
  <c r="V21" i="5"/>
  <c r="U21" i="5"/>
  <c r="T21" i="5"/>
  <c r="S21" i="5"/>
  <c r="R21" i="5"/>
  <c r="Q21" i="5"/>
  <c r="P21" i="5"/>
  <c r="O21" i="5"/>
  <c r="N21" i="5"/>
  <c r="M21" i="5"/>
  <c r="L21" i="5"/>
  <c r="U21" i="3"/>
  <c r="T21" i="3"/>
  <c r="S21" i="3"/>
  <c r="R21" i="3"/>
  <c r="Q21" i="3"/>
  <c r="P21" i="3"/>
  <c r="O21" i="3"/>
  <c r="K21" i="3" s="1"/>
  <c r="N21" i="3"/>
  <c r="M21" i="3"/>
  <c r="L21" i="3"/>
  <c r="U22" i="2"/>
  <c r="T22" i="2"/>
  <c r="S22" i="2"/>
  <c r="R22" i="2"/>
  <c r="Q22" i="2"/>
  <c r="P22" i="2"/>
  <c r="O22" i="2"/>
  <c r="N22" i="2"/>
  <c r="M22" i="2"/>
  <c r="L22" i="2"/>
  <c r="M25" i="1"/>
  <c r="L25" i="1"/>
  <c r="U25" i="1"/>
  <c r="T25" i="1"/>
  <c r="S25" i="1"/>
  <c r="R25" i="1"/>
  <c r="Q25" i="1"/>
  <c r="P25" i="1"/>
  <c r="O25" i="1"/>
  <c r="N25" i="1"/>
  <c r="G5" i="19"/>
  <c r="G86" i="19"/>
  <c r="F86" i="19"/>
  <c r="E86" i="19"/>
  <c r="D86" i="19"/>
  <c r="N86" i="19" s="1"/>
  <c r="G85" i="19"/>
  <c r="F85" i="19"/>
  <c r="E85" i="19"/>
  <c r="D85" i="19"/>
  <c r="N85" i="19" s="1"/>
  <c r="G84" i="19"/>
  <c r="F84" i="19"/>
  <c r="E84" i="19"/>
  <c r="D84" i="19"/>
  <c r="G83" i="19"/>
  <c r="F83" i="19"/>
  <c r="E83" i="19"/>
  <c r="D83" i="19"/>
  <c r="G82" i="19"/>
  <c r="F82" i="19"/>
  <c r="E82" i="19"/>
  <c r="D82" i="19"/>
  <c r="G81" i="19"/>
  <c r="F81" i="19"/>
  <c r="E81" i="19"/>
  <c r="D81" i="19"/>
  <c r="N81" i="19" s="1"/>
  <c r="G80" i="19"/>
  <c r="F80" i="19"/>
  <c r="E80" i="19"/>
  <c r="D80" i="19"/>
  <c r="N80" i="19" s="1"/>
  <c r="G79" i="19"/>
  <c r="F79" i="19"/>
  <c r="E79" i="19"/>
  <c r="D79" i="19"/>
  <c r="N79" i="19" s="1"/>
  <c r="G78" i="19"/>
  <c r="F78" i="19"/>
  <c r="E78" i="19"/>
  <c r="D78" i="19"/>
  <c r="N78" i="19" s="1"/>
  <c r="G77" i="19"/>
  <c r="F77" i="19"/>
  <c r="E77" i="19"/>
  <c r="D77" i="19"/>
  <c r="D87" i="19" s="1"/>
  <c r="N87" i="19" s="1"/>
  <c r="L74" i="19"/>
  <c r="K74" i="19"/>
  <c r="J74" i="19"/>
  <c r="I74" i="19"/>
  <c r="H74" i="19"/>
  <c r="G74" i="19"/>
  <c r="F74" i="19"/>
  <c r="E74" i="19"/>
  <c r="N74" i="19" s="1"/>
  <c r="D74" i="19"/>
  <c r="L73" i="19"/>
  <c r="J73" i="19"/>
  <c r="I73" i="19"/>
  <c r="H73" i="19"/>
  <c r="G73" i="19"/>
  <c r="F73" i="19"/>
  <c r="E73" i="19"/>
  <c r="D73" i="19"/>
  <c r="L72" i="19"/>
  <c r="J72" i="19"/>
  <c r="I72" i="19"/>
  <c r="H72" i="19"/>
  <c r="G72" i="19"/>
  <c r="F72" i="19"/>
  <c r="E72" i="19"/>
  <c r="D72" i="19"/>
  <c r="L71" i="19"/>
  <c r="L75" i="19" s="1"/>
  <c r="J71" i="19"/>
  <c r="I71" i="19"/>
  <c r="H71" i="19"/>
  <c r="G71" i="19"/>
  <c r="F71" i="19"/>
  <c r="E71" i="19"/>
  <c r="D71" i="19"/>
  <c r="J70" i="19"/>
  <c r="I70" i="19"/>
  <c r="H70" i="19"/>
  <c r="G70" i="19"/>
  <c r="F70" i="19"/>
  <c r="E70" i="19"/>
  <c r="D70" i="19"/>
  <c r="J69" i="19"/>
  <c r="I69" i="19"/>
  <c r="H69" i="19"/>
  <c r="G69" i="19"/>
  <c r="N69" i="19" s="1"/>
  <c r="F69" i="19"/>
  <c r="E69" i="19"/>
  <c r="E96" i="19" s="1"/>
  <c r="D69" i="19"/>
  <c r="K68" i="19"/>
  <c r="K75" i="19" s="1"/>
  <c r="J68" i="19"/>
  <c r="I68" i="19"/>
  <c r="H68" i="19"/>
  <c r="G68" i="19"/>
  <c r="F68" i="19"/>
  <c r="E68" i="19"/>
  <c r="E95" i="19"/>
  <c r="D68" i="19"/>
  <c r="D95" i="19" s="1"/>
  <c r="K67" i="19"/>
  <c r="J67" i="19"/>
  <c r="I67" i="19"/>
  <c r="H67" i="19"/>
  <c r="G67" i="19"/>
  <c r="F67" i="19"/>
  <c r="E67" i="19"/>
  <c r="D67" i="19"/>
  <c r="D94" i="19" s="1"/>
  <c r="K66" i="19"/>
  <c r="J66" i="19"/>
  <c r="I66" i="19"/>
  <c r="I93" i="19" s="1"/>
  <c r="H66" i="19"/>
  <c r="G66" i="19"/>
  <c r="F66" i="19"/>
  <c r="E66" i="19"/>
  <c r="D66" i="19"/>
  <c r="D93" i="19" s="1"/>
  <c r="K65" i="19"/>
  <c r="J65" i="19"/>
  <c r="I65" i="19"/>
  <c r="H65" i="19"/>
  <c r="G65" i="19"/>
  <c r="F65" i="19"/>
  <c r="E65" i="19"/>
  <c r="D65" i="19"/>
  <c r="D92" i="19" s="1"/>
  <c r="H64" i="19"/>
  <c r="G64" i="19"/>
  <c r="D64" i="19"/>
  <c r="G63" i="19"/>
  <c r="N63" i="19" s="1"/>
  <c r="D63" i="19"/>
  <c r="M62" i="19"/>
  <c r="N62" i="19"/>
  <c r="M59" i="19"/>
  <c r="H59" i="19"/>
  <c r="G59" i="19"/>
  <c r="M58" i="19"/>
  <c r="H58" i="19"/>
  <c r="G58" i="19"/>
  <c r="M57" i="19"/>
  <c r="H57" i="19"/>
  <c r="G57" i="19"/>
  <c r="L53" i="19"/>
  <c r="K53" i="19"/>
  <c r="J53" i="19"/>
  <c r="I53" i="19"/>
  <c r="L52" i="19"/>
  <c r="K52" i="19"/>
  <c r="J52" i="19"/>
  <c r="I52" i="19"/>
  <c r="L51" i="19"/>
  <c r="K51" i="19"/>
  <c r="J51" i="19"/>
  <c r="I51" i="19"/>
  <c r="L50" i="19"/>
  <c r="K50" i="19"/>
  <c r="J50" i="19"/>
  <c r="J54" i="19" s="1"/>
  <c r="I50" i="19"/>
  <c r="I54" i="19" s="1"/>
  <c r="L47" i="19"/>
  <c r="K47" i="19"/>
  <c r="K101" i="19" s="1"/>
  <c r="J47" i="19"/>
  <c r="J101" i="19" s="1"/>
  <c r="I47" i="19"/>
  <c r="I101" i="19" s="1"/>
  <c r="L46" i="19"/>
  <c r="L100" i="19" s="1"/>
  <c r="J46" i="19"/>
  <c r="L45" i="19"/>
  <c r="J45" i="19"/>
  <c r="L44" i="19"/>
  <c r="J44" i="19"/>
  <c r="J98" i="19" s="1"/>
  <c r="J43" i="19"/>
  <c r="J97" i="19" s="1"/>
  <c r="J42" i="19"/>
  <c r="K41" i="19"/>
  <c r="J41" i="19"/>
  <c r="I41" i="19"/>
  <c r="K40" i="19"/>
  <c r="J40" i="19"/>
  <c r="I40" i="19"/>
  <c r="K39" i="19"/>
  <c r="J39" i="19"/>
  <c r="J93" i="19" s="1"/>
  <c r="I39" i="19"/>
  <c r="K38" i="19"/>
  <c r="J38" i="19"/>
  <c r="I38" i="19"/>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J100" i="19"/>
  <c r="D97" i="19"/>
  <c r="J96" i="19"/>
  <c r="L101" i="19"/>
  <c r="J95" i="19"/>
  <c r="E94" i="19"/>
  <c r="M75" i="19"/>
  <c r="N84" i="19"/>
  <c r="K54" i="19"/>
  <c r="E87" i="19"/>
  <c r="N83" i="19"/>
  <c r="L54" i="19"/>
  <c r="F87" i="19"/>
  <c r="G87" i="19"/>
  <c r="N82" i="19"/>
  <c r="K92" i="19"/>
  <c r="P86" i="3"/>
  <c r="K86" i="3" s="1"/>
  <c r="P85" i="3"/>
  <c r="K85" i="3" s="1"/>
  <c r="P84" i="3"/>
  <c r="K84" i="3" s="1"/>
  <c r="P82" i="3"/>
  <c r="K82" i="3" s="1"/>
  <c r="P81" i="3"/>
  <c r="K81" i="3"/>
  <c r="P80" i="3"/>
  <c r="K80" i="3" s="1"/>
  <c r="P78" i="3"/>
  <c r="K78" i="3" s="1"/>
  <c r="P77" i="3"/>
  <c r="K77" i="3" s="1"/>
  <c r="P76" i="3"/>
  <c r="K76" i="3" s="1"/>
  <c r="P74" i="3"/>
  <c r="K74" i="3" s="1"/>
  <c r="P73" i="3"/>
  <c r="P72" i="3"/>
  <c r="K72" i="3" s="1"/>
  <c r="P70" i="3"/>
  <c r="K70" i="3"/>
  <c r="P69" i="3"/>
  <c r="K69" i="3" s="1"/>
  <c r="P68" i="3"/>
  <c r="K68" i="3"/>
  <c r="P66" i="3"/>
  <c r="K66" i="3" s="1"/>
  <c r="P65" i="3"/>
  <c r="K65" i="3" s="1"/>
  <c r="P64" i="3"/>
  <c r="K64" i="3"/>
  <c r="P62" i="3"/>
  <c r="K62" i="3" s="1"/>
  <c r="P61" i="3"/>
  <c r="K61" i="3" s="1"/>
  <c r="P60" i="3"/>
  <c r="K60" i="3"/>
  <c r="P58" i="3"/>
  <c r="K58" i="3" s="1"/>
  <c r="P57" i="3"/>
  <c r="K57" i="3" s="1"/>
  <c r="P56" i="3"/>
  <c r="K56" i="3"/>
  <c r="P54" i="3"/>
  <c r="K54" i="3" s="1"/>
  <c r="P53" i="3"/>
  <c r="P52" i="3"/>
  <c r="K52" i="3" s="1"/>
  <c r="P50" i="3"/>
  <c r="K50" i="3" s="1"/>
  <c r="P49" i="3"/>
  <c r="K49" i="3" s="1"/>
  <c r="P48" i="3"/>
  <c r="K48" i="3"/>
  <c r="P46" i="3"/>
  <c r="K46" i="3" s="1"/>
  <c r="P45" i="3"/>
  <c r="K45" i="3" s="1"/>
  <c r="P44" i="3"/>
  <c r="P42" i="3"/>
  <c r="K42" i="3" s="1"/>
  <c r="P41" i="3"/>
  <c r="K41" i="3"/>
  <c r="P40" i="3"/>
  <c r="K40" i="3"/>
  <c r="P38" i="3"/>
  <c r="K38" i="3"/>
  <c r="P37" i="3"/>
  <c r="K37" i="3" s="1"/>
  <c r="P36" i="3"/>
  <c r="K36" i="3" s="1"/>
  <c r="P34" i="3"/>
  <c r="K34" i="3"/>
  <c r="P33" i="3"/>
  <c r="K33" i="3" s="1"/>
  <c r="P32" i="3"/>
  <c r="K32" i="3"/>
  <c r="P30" i="3"/>
  <c r="K30" i="3" s="1"/>
  <c r="P29" i="3"/>
  <c r="Z87" i="3"/>
  <c r="Y87" i="3"/>
  <c r="X87" i="3"/>
  <c r="W87" i="3"/>
  <c r="V87" i="3"/>
  <c r="U87" i="3"/>
  <c r="T87" i="3"/>
  <c r="P87" i="3" s="1"/>
  <c r="K87" i="3" s="1"/>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P71" i="3" s="1"/>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P59" i="3" s="1"/>
  <c r="Q59" i="3"/>
  <c r="Z55" i="3"/>
  <c r="Y55" i="3"/>
  <c r="X55" i="3"/>
  <c r="W55" i="3"/>
  <c r="V55" i="3"/>
  <c r="U55" i="3"/>
  <c r="T55" i="3"/>
  <c r="P55" i="3" s="1"/>
  <c r="K55" i="3" s="1"/>
  <c r="S55" i="3"/>
  <c r="R55" i="3"/>
  <c r="Q55" i="3"/>
  <c r="Z51" i="3"/>
  <c r="Y51" i="3"/>
  <c r="X51" i="3"/>
  <c r="W51" i="3"/>
  <c r="V51" i="3"/>
  <c r="U51" i="3"/>
  <c r="T51" i="3"/>
  <c r="S51" i="3"/>
  <c r="R51" i="3"/>
  <c r="P51" i="3" s="1"/>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K71" i="3" s="1"/>
  <c r="L71" i="3"/>
  <c r="O67" i="3"/>
  <c r="N67" i="3"/>
  <c r="M67" i="3"/>
  <c r="L67" i="3"/>
  <c r="O63" i="3"/>
  <c r="N63" i="3"/>
  <c r="M63" i="3"/>
  <c r="L63" i="3"/>
  <c r="O59" i="3"/>
  <c r="N59" i="3"/>
  <c r="M59" i="3"/>
  <c r="L59" i="3"/>
  <c r="O55" i="3"/>
  <c r="N55" i="3"/>
  <c r="M55" i="3"/>
  <c r="L55" i="3"/>
  <c r="O51" i="3"/>
  <c r="N51" i="3"/>
  <c r="M51" i="3"/>
  <c r="K51" i="3" s="1"/>
  <c r="L51" i="3"/>
  <c r="O47" i="3"/>
  <c r="N47" i="3"/>
  <c r="M47" i="3"/>
  <c r="L47" i="3"/>
  <c r="O43" i="3"/>
  <c r="N43" i="3"/>
  <c r="M43" i="3"/>
  <c r="L43" i="3"/>
  <c r="O39" i="3"/>
  <c r="N39" i="3"/>
  <c r="M39" i="3"/>
  <c r="L39" i="3"/>
  <c r="O35" i="3"/>
  <c r="N35" i="3"/>
  <c r="M35" i="3"/>
  <c r="L35" i="3"/>
  <c r="I31" i="3"/>
  <c r="I29" i="3"/>
  <c r="H31" i="3"/>
  <c r="H30" i="3"/>
  <c r="H29" i="3"/>
  <c r="G31" i="3"/>
  <c r="G30" i="3"/>
  <c r="G29" i="3"/>
  <c r="F31" i="3"/>
  <c r="F30" i="3"/>
  <c r="F29" i="3"/>
  <c r="E31" i="3"/>
  <c r="E30" i="3"/>
  <c r="E29" i="3"/>
  <c r="D31" i="3"/>
  <c r="D30" i="3"/>
  <c r="D29" i="3"/>
  <c r="Z31" i="3"/>
  <c r="Y31" i="3"/>
  <c r="W31" i="3"/>
  <c r="V31" i="3"/>
  <c r="U31" i="3"/>
  <c r="T31" i="3"/>
  <c r="S31" i="3"/>
  <c r="R31" i="3"/>
  <c r="Q31" i="3"/>
  <c r="P31" i="3" s="1"/>
  <c r="O31" i="3"/>
  <c r="N31" i="3"/>
  <c r="M31" i="3"/>
  <c r="L31" i="3"/>
  <c r="K73" i="3"/>
  <c r="K53" i="3"/>
  <c r="K44" i="3"/>
  <c r="K29" i="3"/>
  <c r="J87" i="3"/>
  <c r="I87" i="3"/>
  <c r="H87" i="3"/>
  <c r="G87" i="3"/>
  <c r="F87" i="3"/>
  <c r="E87" i="3"/>
  <c r="D87" i="3"/>
  <c r="J86" i="3"/>
  <c r="I86" i="3"/>
  <c r="H86" i="3"/>
  <c r="G86" i="3"/>
  <c r="F86" i="3"/>
  <c r="E86" i="3"/>
  <c r="D86" i="3"/>
  <c r="J85" i="3"/>
  <c r="I85" i="3"/>
  <c r="H85" i="3"/>
  <c r="G85" i="3"/>
  <c r="F85" i="3"/>
  <c r="E85" i="3"/>
  <c r="D85" i="3"/>
  <c r="J84" i="3"/>
  <c r="C84" i="3"/>
  <c r="C87" i="3" s="1"/>
  <c r="J83" i="3"/>
  <c r="I83" i="3"/>
  <c r="H83" i="3"/>
  <c r="G83" i="3"/>
  <c r="F83" i="3"/>
  <c r="E83" i="3"/>
  <c r="D83" i="3"/>
  <c r="J82" i="3"/>
  <c r="I82" i="3"/>
  <c r="H82" i="3"/>
  <c r="G82" i="3"/>
  <c r="F82" i="3"/>
  <c r="E82" i="3"/>
  <c r="D82" i="3"/>
  <c r="J81" i="3"/>
  <c r="I81" i="3"/>
  <c r="H81" i="3"/>
  <c r="G81" i="3"/>
  <c r="F81" i="3"/>
  <c r="E81" i="3"/>
  <c r="D81" i="3"/>
  <c r="J80" i="3"/>
  <c r="C80" i="3"/>
  <c r="C83" i="3" s="1"/>
  <c r="J79" i="3"/>
  <c r="I79" i="3"/>
  <c r="H79" i="3"/>
  <c r="G79" i="3"/>
  <c r="F79" i="3"/>
  <c r="E79" i="3"/>
  <c r="D79" i="3"/>
  <c r="J78" i="3"/>
  <c r="I78" i="3"/>
  <c r="H78" i="3"/>
  <c r="G78" i="3"/>
  <c r="F78" i="3"/>
  <c r="E78" i="3"/>
  <c r="D78" i="3"/>
  <c r="J77" i="3"/>
  <c r="I77" i="3"/>
  <c r="H77" i="3"/>
  <c r="G77" i="3"/>
  <c r="F77" i="3"/>
  <c r="E77" i="3"/>
  <c r="D77" i="3"/>
  <c r="J76" i="3"/>
  <c r="C76" i="3"/>
  <c r="C77" i="3" s="1"/>
  <c r="J75" i="3"/>
  <c r="I75" i="3"/>
  <c r="H75" i="3"/>
  <c r="G75" i="3"/>
  <c r="F75" i="3"/>
  <c r="E75" i="3"/>
  <c r="D75" i="3"/>
  <c r="J74" i="3"/>
  <c r="I74" i="3"/>
  <c r="H74" i="3"/>
  <c r="G74" i="3"/>
  <c r="F74" i="3"/>
  <c r="E74" i="3"/>
  <c r="D74" i="3"/>
  <c r="J73" i="3"/>
  <c r="I73" i="3"/>
  <c r="H73" i="3"/>
  <c r="G73" i="3"/>
  <c r="F73" i="3"/>
  <c r="E73" i="3"/>
  <c r="D73" i="3"/>
  <c r="J72" i="3"/>
  <c r="C72" i="3"/>
  <c r="C75" i="3" s="1"/>
  <c r="J71" i="3"/>
  <c r="I71" i="3"/>
  <c r="H71" i="3"/>
  <c r="G71" i="3"/>
  <c r="F71" i="3"/>
  <c r="E71" i="3"/>
  <c r="D71" i="3"/>
  <c r="J70" i="3"/>
  <c r="I70" i="3"/>
  <c r="H70" i="3"/>
  <c r="G70" i="3"/>
  <c r="F70" i="3"/>
  <c r="E70" i="3"/>
  <c r="D70" i="3"/>
  <c r="J69" i="3"/>
  <c r="I69" i="3"/>
  <c r="H69" i="3"/>
  <c r="G69" i="3"/>
  <c r="F69" i="3"/>
  <c r="E69" i="3"/>
  <c r="D69" i="3"/>
  <c r="J68" i="3"/>
  <c r="C68" i="3"/>
  <c r="C71" i="3" s="1"/>
  <c r="J67" i="3"/>
  <c r="I67" i="3"/>
  <c r="H67" i="3"/>
  <c r="G67" i="3"/>
  <c r="F67" i="3"/>
  <c r="E67" i="3"/>
  <c r="D67" i="3"/>
  <c r="J66" i="3"/>
  <c r="I66" i="3"/>
  <c r="H66" i="3"/>
  <c r="G66" i="3"/>
  <c r="F66" i="3"/>
  <c r="E66" i="3"/>
  <c r="D66" i="3"/>
  <c r="J65" i="3"/>
  <c r="I65" i="3"/>
  <c r="H65" i="3"/>
  <c r="G65" i="3"/>
  <c r="F65" i="3"/>
  <c r="E65" i="3"/>
  <c r="D65" i="3"/>
  <c r="J64" i="3"/>
  <c r="C64" i="3"/>
  <c r="C65" i="3" s="1"/>
  <c r="J63" i="3"/>
  <c r="I63" i="3"/>
  <c r="H63" i="3"/>
  <c r="G63" i="3"/>
  <c r="F63" i="3"/>
  <c r="E63" i="3"/>
  <c r="D63" i="3"/>
  <c r="J62" i="3"/>
  <c r="I62" i="3"/>
  <c r="H62" i="3"/>
  <c r="G62" i="3"/>
  <c r="F62" i="3"/>
  <c r="E62" i="3"/>
  <c r="D62" i="3"/>
  <c r="J61" i="3"/>
  <c r="I61" i="3"/>
  <c r="H61" i="3"/>
  <c r="G61" i="3"/>
  <c r="F61" i="3"/>
  <c r="E61" i="3"/>
  <c r="D61" i="3"/>
  <c r="J60" i="3"/>
  <c r="C60" i="3"/>
  <c r="C63" i="3" s="1"/>
  <c r="J59" i="3"/>
  <c r="I59" i="3"/>
  <c r="H59" i="3"/>
  <c r="G59" i="3"/>
  <c r="F59" i="3"/>
  <c r="E59" i="3"/>
  <c r="D59" i="3"/>
  <c r="J58" i="3"/>
  <c r="I58" i="3"/>
  <c r="H58" i="3"/>
  <c r="G58" i="3"/>
  <c r="F58" i="3"/>
  <c r="E58" i="3"/>
  <c r="D58" i="3"/>
  <c r="J57" i="3"/>
  <c r="I57" i="3"/>
  <c r="H57" i="3"/>
  <c r="G57" i="3"/>
  <c r="F57" i="3"/>
  <c r="E57" i="3"/>
  <c r="D57" i="3"/>
  <c r="J56" i="3"/>
  <c r="C56" i="3"/>
  <c r="C57" i="3" s="1"/>
  <c r="J55" i="3"/>
  <c r="I55" i="3"/>
  <c r="H55" i="3"/>
  <c r="G55" i="3"/>
  <c r="F55" i="3"/>
  <c r="E55" i="3"/>
  <c r="D55" i="3"/>
  <c r="J54" i="3"/>
  <c r="I54" i="3"/>
  <c r="H54" i="3"/>
  <c r="G54" i="3"/>
  <c r="F54" i="3"/>
  <c r="E54" i="3"/>
  <c r="D54" i="3"/>
  <c r="J53" i="3"/>
  <c r="I53" i="3"/>
  <c r="H53" i="3"/>
  <c r="G53" i="3"/>
  <c r="F53" i="3"/>
  <c r="E53" i="3"/>
  <c r="D53" i="3"/>
  <c r="J52" i="3"/>
  <c r="C52" i="3"/>
  <c r="C55" i="3" s="1"/>
  <c r="J51" i="3"/>
  <c r="I51" i="3"/>
  <c r="H51" i="3"/>
  <c r="G51" i="3"/>
  <c r="F51" i="3"/>
  <c r="E51" i="3"/>
  <c r="D51" i="3"/>
  <c r="J50" i="3"/>
  <c r="I50" i="3"/>
  <c r="H50" i="3"/>
  <c r="G50" i="3"/>
  <c r="F50" i="3"/>
  <c r="E50" i="3"/>
  <c r="D50" i="3"/>
  <c r="J49" i="3"/>
  <c r="I49" i="3"/>
  <c r="H49" i="3"/>
  <c r="G49" i="3"/>
  <c r="F49" i="3"/>
  <c r="E49" i="3"/>
  <c r="D49" i="3"/>
  <c r="J48" i="3"/>
  <c r="C48" i="3"/>
  <c r="C49" i="3" s="1"/>
  <c r="J47" i="3"/>
  <c r="I47" i="3"/>
  <c r="H47" i="3"/>
  <c r="G47" i="3"/>
  <c r="F47" i="3"/>
  <c r="E47" i="3"/>
  <c r="D47" i="3"/>
  <c r="J46" i="3"/>
  <c r="I46" i="3"/>
  <c r="H46" i="3"/>
  <c r="G46" i="3"/>
  <c r="F46" i="3"/>
  <c r="E46" i="3"/>
  <c r="D46" i="3"/>
  <c r="J45" i="3"/>
  <c r="I45" i="3"/>
  <c r="H45" i="3"/>
  <c r="G45" i="3"/>
  <c r="F45" i="3"/>
  <c r="E45" i="3"/>
  <c r="D45" i="3"/>
  <c r="J44" i="3"/>
  <c r="C44" i="3"/>
  <c r="C45" i="3" s="1"/>
  <c r="J43" i="3"/>
  <c r="I43" i="3"/>
  <c r="H43" i="3"/>
  <c r="G43" i="3"/>
  <c r="F43" i="3"/>
  <c r="E43" i="3"/>
  <c r="D43" i="3"/>
  <c r="J42" i="3"/>
  <c r="I42" i="3"/>
  <c r="H42" i="3"/>
  <c r="G42" i="3"/>
  <c r="F42" i="3"/>
  <c r="E42" i="3"/>
  <c r="D42" i="3"/>
  <c r="J41" i="3"/>
  <c r="I41" i="3"/>
  <c r="H41" i="3"/>
  <c r="G41" i="3"/>
  <c r="F41" i="3"/>
  <c r="E41" i="3"/>
  <c r="D41" i="3"/>
  <c r="J40" i="3"/>
  <c r="C40" i="3"/>
  <c r="C43" i="3" s="1"/>
  <c r="J39" i="3"/>
  <c r="I39" i="3"/>
  <c r="H39" i="3"/>
  <c r="G39" i="3"/>
  <c r="F39" i="3"/>
  <c r="E39" i="3"/>
  <c r="D39" i="3"/>
  <c r="J38" i="3"/>
  <c r="I38" i="3"/>
  <c r="H38" i="3"/>
  <c r="G38" i="3"/>
  <c r="F38" i="3"/>
  <c r="E38" i="3"/>
  <c r="D38" i="3"/>
  <c r="J37" i="3"/>
  <c r="I37" i="3"/>
  <c r="H37" i="3"/>
  <c r="G37" i="3"/>
  <c r="F37" i="3"/>
  <c r="E37" i="3"/>
  <c r="D37" i="3"/>
  <c r="J36" i="3"/>
  <c r="C36" i="3"/>
  <c r="C39" i="3" s="1"/>
  <c r="I35" i="3"/>
  <c r="I34" i="3"/>
  <c r="I33" i="3"/>
  <c r="H35" i="3"/>
  <c r="H34" i="3"/>
  <c r="H33" i="3"/>
  <c r="G35" i="3"/>
  <c r="G34" i="3"/>
  <c r="G33" i="3"/>
  <c r="F35" i="3"/>
  <c r="F34" i="3"/>
  <c r="F33" i="3"/>
  <c r="E35" i="3"/>
  <c r="E34" i="3"/>
  <c r="E33" i="3"/>
  <c r="D35" i="3"/>
  <c r="D34" i="3"/>
  <c r="D33" i="3"/>
  <c r="J34" i="3"/>
  <c r="N16" i="3" s="1"/>
  <c r="J33" i="3"/>
  <c r="C32" i="3"/>
  <c r="C35" i="3" s="1"/>
  <c r="P67" i="3"/>
  <c r="P63" i="3"/>
  <c r="C81" i="3"/>
  <c r="C74" i="3"/>
  <c r="C70" i="3"/>
  <c r="C51" i="3"/>
  <c r="C42" i="3"/>
  <c r="C33" i="3"/>
  <c r="L66" i="2"/>
  <c r="L65" i="2"/>
  <c r="L64" i="2"/>
  <c r="L63" i="2"/>
  <c r="L62" i="2"/>
  <c r="L61" i="2"/>
  <c r="L60" i="2"/>
  <c r="L59" i="2"/>
  <c r="L58" i="2"/>
  <c r="L57" i="2"/>
  <c r="L56" i="2"/>
  <c r="L55"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U21" i="2" s="1"/>
  <c r="T20" i="2"/>
  <c r="S20" i="2"/>
  <c r="R20" i="2"/>
  <c r="R21" i="2" s="1"/>
  <c r="Q20" i="2"/>
  <c r="Q21" i="2" s="1"/>
  <c r="P20" i="2"/>
  <c r="O20" i="2"/>
  <c r="N20" i="2"/>
  <c r="N21" i="2" s="1"/>
  <c r="E45" i="19" s="1"/>
  <c r="E99" i="19" s="1"/>
  <c r="M20" i="2"/>
  <c r="L20" i="2"/>
  <c r="J20" i="2"/>
  <c r="I20" i="2"/>
  <c r="I21" i="2" s="1"/>
  <c r="E51" i="19" s="1"/>
  <c r="H20" i="2"/>
  <c r="H21" i="2" s="1"/>
  <c r="E50" i="19" s="1"/>
  <c r="G20" i="2"/>
  <c r="L23" i="1"/>
  <c r="L24" i="1" s="1"/>
  <c r="D47" i="19" s="1"/>
  <c r="D101" i="19" s="1"/>
  <c r="K22" i="1"/>
  <c r="K21" i="1"/>
  <c r="F21" i="1" s="1"/>
  <c r="K14" i="1"/>
  <c r="F14" i="1"/>
  <c r="F22" i="1"/>
  <c r="O23" i="1"/>
  <c r="O24" i="1" s="1"/>
  <c r="D44" i="19" s="1"/>
  <c r="K18" i="1"/>
  <c r="F18" i="1" s="1"/>
  <c r="K20" i="1"/>
  <c r="F20" i="1" s="1"/>
  <c r="K18" i="5"/>
  <c r="F18" i="5" s="1"/>
  <c r="K17" i="5"/>
  <c r="F17" i="5" s="1"/>
  <c r="K17" i="1"/>
  <c r="F17" i="1"/>
  <c r="K19" i="2"/>
  <c r="F19" i="2" s="1"/>
  <c r="K18" i="2"/>
  <c r="K17" i="2"/>
  <c r="F17" i="2" s="1"/>
  <c r="K21" i="5"/>
  <c r="J16" i="7"/>
  <c r="J15" i="7"/>
  <c r="E15" i="7"/>
  <c r="J14" i="7"/>
  <c r="E14" i="7" s="1"/>
  <c r="F18" i="2"/>
  <c r="C48" i="6"/>
  <c r="C47" i="6"/>
  <c r="C46" i="6"/>
  <c r="C45" i="6"/>
  <c r="C44" i="6"/>
  <c r="C43" i="6"/>
  <c r="C42" i="6"/>
  <c r="C41" i="6"/>
  <c r="C40" i="6"/>
  <c r="C39" i="6"/>
  <c r="C38" i="6"/>
  <c r="C37" i="6"/>
  <c r="C36" i="6"/>
  <c r="C35" i="6"/>
  <c r="C34" i="6"/>
  <c r="C33" i="6"/>
  <c r="C32" i="6"/>
  <c r="C31" i="6"/>
  <c r="C30" i="6"/>
  <c r="C29" i="6"/>
  <c r="C32" i="5"/>
  <c r="C31" i="5"/>
  <c r="C30" i="5"/>
  <c r="I20" i="6"/>
  <c r="J20" i="6"/>
  <c r="J21" i="6" s="1"/>
  <c r="H53" i="19" s="1"/>
  <c r="L48" i="6"/>
  <c r="L47" i="6"/>
  <c r="L46" i="6"/>
  <c r="L45" i="6"/>
  <c r="G45" i="6" s="1"/>
  <c r="L44" i="6"/>
  <c r="G44" i="6" s="1"/>
  <c r="L43" i="6"/>
  <c r="L42" i="6"/>
  <c r="L41" i="6"/>
  <c r="L40" i="6"/>
  <c r="G40" i="6" s="1"/>
  <c r="L39" i="6"/>
  <c r="L38" i="6"/>
  <c r="L37" i="6"/>
  <c r="G37" i="6" s="1"/>
  <c r="L36" i="6"/>
  <c r="G36" i="6" s="1"/>
  <c r="L35" i="6"/>
  <c r="L34" i="6"/>
  <c r="L33" i="6"/>
  <c r="G33" i="6" s="1"/>
  <c r="L32" i="6"/>
  <c r="G32" i="6" s="1"/>
  <c r="L31" i="6"/>
  <c r="L30" i="6"/>
  <c r="L29" i="6"/>
  <c r="G29" i="6" s="1"/>
  <c r="K19" i="6"/>
  <c r="F19" i="6" s="1"/>
  <c r="K18" i="6"/>
  <c r="K17" i="6"/>
  <c r="K16" i="6"/>
  <c r="F16" i="6" s="1"/>
  <c r="K15" i="6"/>
  <c r="F15" i="6" s="1"/>
  <c r="K14" i="6"/>
  <c r="F14" i="6" s="1"/>
  <c r="R19" i="5"/>
  <c r="R20" i="5"/>
  <c r="G41" i="19" s="1"/>
  <c r="Q19" i="5"/>
  <c r="Q20" i="5" s="1"/>
  <c r="G42" i="19" s="1"/>
  <c r="G96" i="19" s="1"/>
  <c r="P19" i="5"/>
  <c r="P20" i="5"/>
  <c r="G43" i="19" s="1"/>
  <c r="G97" i="19" s="1"/>
  <c r="O19" i="5"/>
  <c r="O20" i="5"/>
  <c r="G44" i="19" s="1"/>
  <c r="N19" i="5"/>
  <c r="N20" i="5" s="1"/>
  <c r="G45" i="19" s="1"/>
  <c r="G99" i="19" s="1"/>
  <c r="L19" i="5"/>
  <c r="L20" i="5"/>
  <c r="G47" i="19"/>
  <c r="G101" i="19" s="1"/>
  <c r="K16" i="5"/>
  <c r="K14" i="5"/>
  <c r="K15" i="5"/>
  <c r="F15" i="5" s="1"/>
  <c r="L33" i="5"/>
  <c r="L32" i="5"/>
  <c r="L31" i="5"/>
  <c r="L30" i="5"/>
  <c r="L29" i="5"/>
  <c r="G29" i="5" s="1"/>
  <c r="K67" i="3"/>
  <c r="P28" i="3"/>
  <c r="K28" i="3" s="1"/>
  <c r="K15" i="3"/>
  <c r="F15" i="3" s="1"/>
  <c r="K14" i="3"/>
  <c r="F14" i="3"/>
  <c r="J35" i="3"/>
  <c r="J32" i="3"/>
  <c r="K16" i="2"/>
  <c r="F16" i="2" s="1"/>
  <c r="K15" i="2"/>
  <c r="K14" i="2"/>
  <c r="Q66" i="2"/>
  <c r="Q65" i="2"/>
  <c r="Q64" i="2"/>
  <c r="Q63" i="2"/>
  <c r="Q62" i="2"/>
  <c r="Q61" i="2"/>
  <c r="Q60" i="2"/>
  <c r="Q59" i="2"/>
  <c r="Q58" i="2"/>
  <c r="Q57" i="2"/>
  <c r="Q56" i="2"/>
  <c r="Q55" i="2"/>
  <c r="Q54" i="2"/>
  <c r="L54" i="2"/>
  <c r="Q53" i="2"/>
  <c r="L53" i="2" s="1"/>
  <c r="Q52" i="2"/>
  <c r="L52" i="2" s="1"/>
  <c r="Q51" i="2"/>
  <c r="L51" i="2" s="1"/>
  <c r="Q50" i="2"/>
  <c r="L50" i="2" s="1"/>
  <c r="Q49" i="2"/>
  <c r="L49" i="2"/>
  <c r="Q48" i="2"/>
  <c r="L48" i="2"/>
  <c r="Q47" i="2"/>
  <c r="L47" i="2" s="1"/>
  <c r="Q46" i="2"/>
  <c r="L46" i="2"/>
  <c r="Q45" i="2"/>
  <c r="L45" i="2" s="1"/>
  <c r="Q44" i="2"/>
  <c r="L44" i="2" s="1"/>
  <c r="Q43" i="2"/>
  <c r="L43" i="2" s="1"/>
  <c r="Q42" i="2"/>
  <c r="L42" i="2" s="1"/>
  <c r="Q41" i="2"/>
  <c r="L41" i="2" s="1"/>
  <c r="Q40" i="2"/>
  <c r="Q39" i="2"/>
  <c r="L39" i="2"/>
  <c r="Q38" i="2"/>
  <c r="L38" i="2"/>
  <c r="Q37" i="2"/>
  <c r="L37" i="2" s="1"/>
  <c r="K22" i="2"/>
  <c r="E11" i="17"/>
  <c r="E12" i="17"/>
  <c r="E13" i="17"/>
  <c r="E14" i="17"/>
  <c r="E15" i="17"/>
  <c r="E16" i="17"/>
  <c r="E17" i="17"/>
  <c r="E18" i="17"/>
  <c r="E19" i="17"/>
  <c r="D11" i="12" s="1"/>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G23" i="1"/>
  <c r="G24" i="1" s="1"/>
  <c r="D52" i="19" s="1"/>
  <c r="H23" i="1"/>
  <c r="H24" i="1" s="1"/>
  <c r="D50" i="19" s="1"/>
  <c r="I23" i="1"/>
  <c r="I24" i="1" s="1"/>
  <c r="D51" i="19" s="1"/>
  <c r="K15" i="1"/>
  <c r="K16" i="1"/>
  <c r="F16" i="1" s="1"/>
  <c r="K19" i="1"/>
  <c r="F19" i="1" s="1"/>
  <c r="F15" i="1"/>
  <c r="L40" i="1"/>
  <c r="G40" i="1" s="1"/>
  <c r="L41" i="1"/>
  <c r="G41" i="1" s="1"/>
  <c r="L42" i="1"/>
  <c r="G42" i="1" s="1"/>
  <c r="L43" i="1"/>
  <c r="G43" i="1"/>
  <c r="L44" i="1"/>
  <c r="G44" i="1" s="1"/>
  <c r="L45" i="1"/>
  <c r="G45" i="1" s="1"/>
  <c r="L46" i="1"/>
  <c r="G46" i="1" s="1"/>
  <c r="L47" i="1"/>
  <c r="G47" i="1" s="1"/>
  <c r="L48" i="1"/>
  <c r="G48" i="1" s="1"/>
  <c r="L49" i="1"/>
  <c r="G49" i="1"/>
  <c r="L50" i="1"/>
  <c r="G50" i="1" s="1"/>
  <c r="L51" i="1"/>
  <c r="G51" i="1" s="1"/>
  <c r="L52" i="1"/>
  <c r="G52" i="1" s="1"/>
  <c r="L53" i="1"/>
  <c r="G53" i="1" s="1"/>
  <c r="L54" i="1"/>
  <c r="G54" i="1" s="1"/>
  <c r="L55" i="1"/>
  <c r="G55" i="1" s="1"/>
  <c r="L56" i="1"/>
  <c r="G56" i="1" s="1"/>
  <c r="L57" i="1"/>
  <c r="G57" i="1" s="1"/>
  <c r="L58" i="1"/>
  <c r="G58" i="1" s="1"/>
  <c r="L59" i="1"/>
  <c r="G59" i="1"/>
  <c r="L60" i="1"/>
  <c r="G60" i="1" s="1"/>
  <c r="L61" i="1"/>
  <c r="G61" i="1"/>
  <c r="L62" i="1"/>
  <c r="G62" i="1" s="1"/>
  <c r="L63" i="1"/>
  <c r="G63" i="1" s="1"/>
  <c r="L64" i="1"/>
  <c r="G64" i="1" s="1"/>
  <c r="L65" i="1"/>
  <c r="G65" i="1" s="1"/>
  <c r="L66" i="1"/>
  <c r="G66" i="1" s="1"/>
  <c r="L67" i="1"/>
  <c r="G67" i="1"/>
  <c r="L68" i="1"/>
  <c r="G68" i="1" s="1"/>
  <c r="L69" i="1"/>
  <c r="G69" i="1"/>
  <c r="L70" i="1"/>
  <c r="G70" i="1" s="1"/>
  <c r="L71" i="1"/>
  <c r="G71" i="1" s="1"/>
  <c r="L72" i="1"/>
  <c r="G72" i="1" s="1"/>
  <c r="L73" i="1"/>
  <c r="G73" i="1" s="1"/>
  <c r="L74" i="1"/>
  <c r="G74" i="1" s="1"/>
  <c r="L75" i="1"/>
  <c r="G75" i="1"/>
  <c r="L76" i="1"/>
  <c r="G76" i="1" s="1"/>
  <c r="L77" i="1"/>
  <c r="G77" i="1"/>
  <c r="L78" i="1"/>
  <c r="G78" i="1" s="1"/>
  <c r="L79" i="1"/>
  <c r="G79" i="1" s="1"/>
  <c r="L80" i="1"/>
  <c r="G80" i="1" s="1"/>
  <c r="L81" i="1"/>
  <c r="G81" i="1" s="1"/>
  <c r="L82" i="1"/>
  <c r="G82" i="1" s="1"/>
  <c r="L83" i="1"/>
  <c r="G83" i="1"/>
  <c r="L39" i="1"/>
  <c r="C16" i="7"/>
  <c r="E16" i="7"/>
  <c r="G48" i="6"/>
  <c r="G47" i="6"/>
  <c r="G43" i="6"/>
  <c r="G38" i="6"/>
  <c r="G35" i="6"/>
  <c r="G31" i="6"/>
  <c r="G30" i="6"/>
  <c r="G46" i="6"/>
  <c r="G41" i="6"/>
  <c r="G39" i="6"/>
  <c r="G20" i="6"/>
  <c r="G21" i="6" s="1"/>
  <c r="H52" i="19" s="1"/>
  <c r="F18" i="6"/>
  <c r="F17" i="6"/>
  <c r="H20" i="6"/>
  <c r="H21" i="6"/>
  <c r="H50" i="19" s="1"/>
  <c r="I21" i="6"/>
  <c r="H51" i="19" s="1"/>
  <c r="L20" i="6"/>
  <c r="M20" i="6"/>
  <c r="N20" i="6"/>
  <c r="N21" i="6" s="1"/>
  <c r="H45" i="19" s="1"/>
  <c r="H99" i="19" s="1"/>
  <c r="O20" i="6"/>
  <c r="O21" i="6" s="1"/>
  <c r="H44" i="19" s="1"/>
  <c r="H98" i="19" s="1"/>
  <c r="P20" i="6"/>
  <c r="P21" i="6" s="1"/>
  <c r="H43" i="19" s="1"/>
  <c r="H97" i="19" s="1"/>
  <c r="Q20" i="6"/>
  <c r="Q21" i="6" s="1"/>
  <c r="H42" i="19" s="1"/>
  <c r="H96" i="19" s="1"/>
  <c r="R20" i="6"/>
  <c r="R21" i="6" s="1"/>
  <c r="H41" i="19" s="1"/>
  <c r="S20" i="6"/>
  <c r="S21" i="6"/>
  <c r="H40" i="19" s="1"/>
  <c r="H94" i="19" s="1"/>
  <c r="T20" i="6"/>
  <c r="T21" i="6" s="1"/>
  <c r="U20" i="6"/>
  <c r="U21" i="6"/>
  <c r="H38" i="19" s="1"/>
  <c r="V20" i="6"/>
  <c r="V21" i="6" s="1"/>
  <c r="H37" i="19" s="1"/>
  <c r="W20" i="6"/>
  <c r="W21" i="6" s="1"/>
  <c r="H39" i="19"/>
  <c r="H95" i="19"/>
  <c r="L21" i="6"/>
  <c r="H47" i="19" s="1"/>
  <c r="H101" i="19" s="1"/>
  <c r="G34" i="6"/>
  <c r="G42" i="6"/>
  <c r="V19" i="5"/>
  <c r="V20" i="5" s="1"/>
  <c r="G37" i="19" s="1"/>
  <c r="W19" i="5"/>
  <c r="W20" i="5" s="1"/>
  <c r="G36" i="19" s="1"/>
  <c r="F14" i="5"/>
  <c r="G33" i="5"/>
  <c r="G32" i="5"/>
  <c r="G31" i="5"/>
  <c r="G30" i="5"/>
  <c r="F16" i="5"/>
  <c r="G19" i="5"/>
  <c r="G20" i="5" s="1"/>
  <c r="G52" i="19" s="1"/>
  <c r="H19" i="5"/>
  <c r="I19" i="5"/>
  <c r="I20" i="5" s="1"/>
  <c r="G51" i="19" s="1"/>
  <c r="J19" i="5"/>
  <c r="M19" i="5"/>
  <c r="M20" i="5"/>
  <c r="G46" i="19"/>
  <c r="G100" i="19" s="1"/>
  <c r="S19" i="5"/>
  <c r="S20" i="5" s="1"/>
  <c r="G40" i="19" s="1"/>
  <c r="G94" i="19" s="1"/>
  <c r="T19" i="5"/>
  <c r="U19" i="5"/>
  <c r="U20" i="5" s="1"/>
  <c r="G38" i="19" s="1"/>
  <c r="G92" i="19" s="1"/>
  <c r="H20" i="5"/>
  <c r="G50" i="19" s="1"/>
  <c r="T20" i="5"/>
  <c r="G39" i="19" s="1"/>
  <c r="G93" i="19" s="1"/>
  <c r="J20" i="5"/>
  <c r="G53" i="19" s="1"/>
  <c r="L21" i="2"/>
  <c r="E47" i="19" s="1"/>
  <c r="E101" i="19" s="1"/>
  <c r="C3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s="1"/>
  <c r="N17" i="3"/>
  <c r="P17" i="3"/>
  <c r="R16" i="3"/>
  <c r="M17" i="3"/>
  <c r="C16" i="10"/>
  <c r="C17" i="10"/>
  <c r="C18" i="10"/>
  <c r="C19" i="10"/>
  <c r="C20" i="10"/>
  <c r="C21" i="10"/>
  <c r="C22" i="10"/>
  <c r="C23" i="10"/>
  <c r="C38" i="10"/>
  <c r="C37" i="10"/>
  <c r="C36" i="10"/>
  <c r="C29" i="10"/>
  <c r="C28" i="10"/>
  <c r="C14" i="10"/>
  <c r="C13" i="10"/>
  <c r="C15" i="10"/>
  <c r="C65" i="1"/>
  <c r="C66" i="1"/>
  <c r="C67" i="1"/>
  <c r="C68" i="1"/>
  <c r="C69" i="1"/>
  <c r="C70" i="1"/>
  <c r="C71" i="1"/>
  <c r="C72" i="1"/>
  <c r="C73" i="1"/>
  <c r="C74" i="1"/>
  <c r="C75" i="1"/>
  <c r="C76" i="1"/>
  <c r="C77" i="1"/>
  <c r="C78" i="1"/>
  <c r="C79" i="1"/>
  <c r="C80" i="1"/>
  <c r="C81" i="1"/>
  <c r="C82" i="1"/>
  <c r="C83" i="1"/>
  <c r="O21" i="2"/>
  <c r="E44" i="19"/>
  <c r="P21" i="2"/>
  <c r="S21" i="2"/>
  <c r="T21" i="2"/>
  <c r="M21" i="2"/>
  <c r="E46" i="19" s="1"/>
  <c r="E100" i="19" s="1"/>
  <c r="J21" i="2"/>
  <c r="E53" i="19" s="1"/>
  <c r="G21" i="2"/>
  <c r="E52" i="19" s="1"/>
  <c r="F15" i="2"/>
  <c r="U23" i="1"/>
  <c r="N23" i="1"/>
  <c r="P23" i="1"/>
  <c r="P24" i="1" s="1"/>
  <c r="Q23" i="1"/>
  <c r="Q24" i="1" s="1"/>
  <c r="R23" i="1"/>
  <c r="S23" i="1"/>
  <c r="S24" i="1" s="1"/>
  <c r="T23" i="1"/>
  <c r="T24" i="1" s="1"/>
  <c r="M23" i="1"/>
  <c r="J23" i="1"/>
  <c r="J24" i="1" s="1"/>
  <c r="D53" i="19" s="1"/>
  <c r="U24" i="1"/>
  <c r="R24" i="1"/>
  <c r="N24" i="1"/>
  <c r="D45" i="19" s="1"/>
  <c r="F14" i="2"/>
  <c r="D7" i="1"/>
  <c r="C47" i="1" s="1"/>
  <c r="C14" i="7"/>
  <c r="C15" i="7"/>
  <c r="K25" i="1"/>
  <c r="H54" i="19" l="1"/>
  <c r="G54" i="19"/>
  <c r="E54" i="19"/>
  <c r="T17" i="3"/>
  <c r="C29" i="3"/>
  <c r="I18" i="3"/>
  <c r="G98" i="19"/>
  <c r="G95" i="19"/>
  <c r="C41" i="3"/>
  <c r="C53" i="3"/>
  <c r="C62" i="3"/>
  <c r="C73" i="3"/>
  <c r="C86" i="3"/>
  <c r="P35" i="3"/>
  <c r="K35" i="3" s="1"/>
  <c r="P39" i="3"/>
  <c r="K39" i="3" s="1"/>
  <c r="P47" i="3"/>
  <c r="K47" i="3" s="1"/>
  <c r="P79" i="3"/>
  <c r="K79" i="3" s="1"/>
  <c r="N77" i="19"/>
  <c r="N28" i="19"/>
  <c r="M60" i="19"/>
  <c r="N67" i="19"/>
  <c r="H75" i="19"/>
  <c r="D96" i="19"/>
  <c r="N71" i="19"/>
  <c r="N72" i="19"/>
  <c r="J99" i="19"/>
  <c r="N73" i="19"/>
  <c r="D9" i="19"/>
  <c r="O16" i="3"/>
  <c r="H92" i="19"/>
  <c r="H17" i="3"/>
  <c r="Q16" i="3"/>
  <c r="O17" i="3"/>
  <c r="C30" i="3"/>
  <c r="C47" i="3"/>
  <c r="C58" i="3"/>
  <c r="C61" i="3"/>
  <c r="C78" i="3"/>
  <c r="D59" i="19"/>
  <c r="N59" i="19" s="1"/>
  <c r="G75" i="19"/>
  <c r="J94" i="19"/>
  <c r="J16" i="3"/>
  <c r="H93" i="19"/>
  <c r="K20" i="6"/>
  <c r="F20" i="6" s="1"/>
  <c r="F21" i="6" s="1"/>
  <c r="G16" i="3"/>
  <c r="P16" i="3"/>
  <c r="C29" i="5"/>
  <c r="C38" i="3"/>
  <c r="C50" i="3"/>
  <c r="C59" i="3"/>
  <c r="C66" i="3"/>
  <c r="C82" i="3"/>
  <c r="C37" i="3"/>
  <c r="C46" i="3"/>
  <c r="C54" i="3"/>
  <c r="C67" i="3"/>
  <c r="C69" i="3"/>
  <c r="C79" i="3"/>
  <c r="C85" i="3"/>
  <c r="P43" i="3"/>
  <c r="P75" i="3"/>
  <c r="P83" i="3"/>
  <c r="K83" i="3" s="1"/>
  <c r="K95" i="19"/>
  <c r="G60" i="19"/>
  <c r="K94" i="19"/>
  <c r="H91" i="19"/>
  <c r="D54" i="19"/>
  <c r="N36" i="19"/>
  <c r="G90" i="19"/>
  <c r="G48" i="19"/>
  <c r="G55" i="19" s="1"/>
  <c r="C62" i="1"/>
  <c r="C63" i="1"/>
  <c r="C64" i="1"/>
  <c r="C39" i="1"/>
  <c r="C46" i="1"/>
  <c r="C42" i="1"/>
  <c r="C49" i="1"/>
  <c r="C55" i="1"/>
  <c r="C61" i="1"/>
  <c r="C44" i="1"/>
  <c r="M24" i="1"/>
  <c r="D46" i="19" s="1"/>
  <c r="K23" i="1"/>
  <c r="E48" i="19"/>
  <c r="E55" i="19" s="1"/>
  <c r="E98" i="19"/>
  <c r="C53" i="1"/>
  <c r="C52" i="1"/>
  <c r="C50" i="1"/>
  <c r="C48" i="1"/>
  <c r="C40" i="1"/>
  <c r="C45" i="1"/>
  <c r="C60" i="1"/>
  <c r="C51" i="1"/>
  <c r="C41" i="1"/>
  <c r="C57" i="1"/>
  <c r="C58" i="1"/>
  <c r="C56" i="1"/>
  <c r="C54" i="1"/>
  <c r="K19" i="5"/>
  <c r="K20" i="5" s="1"/>
  <c r="M21" i="6"/>
  <c r="H46" i="19" s="1"/>
  <c r="H100" i="19" s="1"/>
  <c r="F30" i="1"/>
  <c r="G39" i="1"/>
  <c r="K20" i="2"/>
  <c r="F20" i="2" s="1"/>
  <c r="F21" i="2" s="1"/>
  <c r="L40" i="2"/>
  <c r="M18" i="3"/>
  <c r="J18" i="3"/>
  <c r="H18" i="3"/>
  <c r="O18" i="3"/>
  <c r="O20" i="3" s="1"/>
  <c r="F44" i="19" s="1"/>
  <c r="U18" i="3"/>
  <c r="S18" i="3"/>
  <c r="Q18" i="3"/>
  <c r="N18" i="3"/>
  <c r="L18" i="3"/>
  <c r="G18" i="3"/>
  <c r="L17" i="3"/>
  <c r="M16" i="3"/>
  <c r="H16" i="3"/>
  <c r="I16" i="3"/>
  <c r="J17" i="3"/>
  <c r="J19" i="3" s="1"/>
  <c r="S17" i="3"/>
  <c r="T16" i="3"/>
  <c r="R18" i="3"/>
  <c r="L16" i="3"/>
  <c r="G17" i="3"/>
  <c r="U16" i="3"/>
  <c r="Q17" i="3"/>
  <c r="Q19" i="3" s="1"/>
  <c r="R17" i="3"/>
  <c r="R20" i="3" s="1"/>
  <c r="F41" i="19" s="1"/>
  <c r="S16" i="3"/>
  <c r="I17" i="3"/>
  <c r="U17" i="3"/>
  <c r="T18" i="3"/>
  <c r="P18" i="3"/>
  <c r="P20" i="3" s="1"/>
  <c r="F43" i="19" s="1"/>
  <c r="C43" i="1"/>
  <c r="C59" i="1"/>
  <c r="N19" i="3"/>
  <c r="N20" i="3"/>
  <c r="F45" i="19" s="1"/>
  <c r="F99" i="19" s="1"/>
  <c r="N37" i="19"/>
  <c r="G91" i="19"/>
  <c r="N91" i="19" s="1"/>
  <c r="K21" i="2"/>
  <c r="F30" i="2" s="1"/>
  <c r="D98" i="19"/>
  <c r="C34" i="3"/>
  <c r="K31" i="3"/>
  <c r="K43" i="3"/>
  <c r="K59" i="3"/>
  <c r="K63" i="3"/>
  <c r="K75" i="3"/>
  <c r="J92" i="19"/>
  <c r="J102" i="19" s="1"/>
  <c r="J48" i="19"/>
  <c r="J55" i="19" s="1"/>
  <c r="K93" i="19"/>
  <c r="K102" i="19" s="1"/>
  <c r="K48" i="19"/>
  <c r="K55" i="19" s="1"/>
  <c r="I95" i="19"/>
  <c r="I48" i="19"/>
  <c r="I55" i="19" s="1"/>
  <c r="L99" i="19"/>
  <c r="L102" i="19" s="1"/>
  <c r="L48" i="19"/>
  <c r="L55" i="19" s="1"/>
  <c r="D57" i="19"/>
  <c r="H60" i="19"/>
  <c r="N64" i="19"/>
  <c r="D75" i="19"/>
  <c r="N65" i="19"/>
  <c r="E75" i="19"/>
  <c r="E92" i="19"/>
  <c r="I75" i="19"/>
  <c r="I92" i="19"/>
  <c r="I102" i="19" s="1"/>
  <c r="N66" i="19"/>
  <c r="E93" i="19"/>
  <c r="E97" i="19"/>
  <c r="N70" i="19"/>
  <c r="M89" i="19"/>
  <c r="N33" i="19"/>
  <c r="E9" i="19" s="1"/>
  <c r="I94" i="19"/>
  <c r="F75" i="19"/>
  <c r="J75" i="19"/>
  <c r="N68" i="19"/>
  <c r="D58" i="19"/>
  <c r="N58" i="19" s="1"/>
  <c r="C40" i="2"/>
  <c r="C44" i="2"/>
  <c r="C48" i="2"/>
  <c r="C52" i="2"/>
  <c r="K21" i="6" l="1"/>
  <c r="F95" i="19"/>
  <c r="N95" i="19" s="1"/>
  <c r="N41" i="19"/>
  <c r="N43" i="19"/>
  <c r="F97" i="19"/>
  <c r="S19" i="3"/>
  <c r="S20" i="3"/>
  <c r="F40" i="19" s="1"/>
  <c r="G20" i="3"/>
  <c r="F52" i="19" s="1"/>
  <c r="N52" i="19" s="1"/>
  <c r="M19" i="3"/>
  <c r="M20" i="3"/>
  <c r="F46" i="19" s="1"/>
  <c r="F100" i="19" s="1"/>
  <c r="F98" i="19"/>
  <c r="N98" i="19" s="1"/>
  <c r="N44" i="19"/>
  <c r="J20" i="3"/>
  <c r="F53" i="19" s="1"/>
  <c r="N53" i="19" s="1"/>
  <c r="N46" i="19"/>
  <c r="D100" i="19"/>
  <c r="N100" i="19" s="1"/>
  <c r="R19" i="3"/>
  <c r="F19" i="5"/>
  <c r="F20" i="5" s="1"/>
  <c r="L20" i="3"/>
  <c r="F47" i="19" s="1"/>
  <c r="L19" i="3"/>
  <c r="K16" i="3"/>
  <c r="K17" i="3"/>
  <c r="F17" i="3" s="1"/>
  <c r="D10" i="19" s="1"/>
  <c r="P19" i="3"/>
  <c r="N45" i="19"/>
  <c r="E102" i="19"/>
  <c r="D60" i="19"/>
  <c r="N60" i="19" s="1"/>
  <c r="N57" i="19"/>
  <c r="I19" i="3"/>
  <c r="I20" i="3"/>
  <c r="F51" i="19" s="1"/>
  <c r="N51" i="19" s="1"/>
  <c r="O19" i="3"/>
  <c r="N90" i="19"/>
  <c r="G102" i="19"/>
  <c r="D48" i="19"/>
  <c r="H102" i="19"/>
  <c r="M102" i="19"/>
  <c r="N89" i="19"/>
  <c r="N97" i="19"/>
  <c r="N75" i="19"/>
  <c r="G19" i="3"/>
  <c r="U20" i="3"/>
  <c r="F38" i="19" s="1"/>
  <c r="U19" i="3"/>
  <c r="T20" i="3"/>
  <c r="F39" i="19" s="1"/>
  <c r="T19" i="3"/>
  <c r="H19" i="3"/>
  <c r="H20" i="3"/>
  <c r="F50" i="19" s="1"/>
  <c r="K18" i="3"/>
  <c r="F18" i="3" s="1"/>
  <c r="Q20" i="3"/>
  <c r="F42" i="19" s="1"/>
  <c r="F31" i="1"/>
  <c r="K24" i="1"/>
  <c r="F23" i="1"/>
  <c r="F24" i="1" s="1"/>
  <c r="D99" i="19"/>
  <c r="N99" i="19" s="1"/>
  <c r="H48" i="19"/>
  <c r="H55" i="19" s="1"/>
  <c r="N42" i="19" l="1"/>
  <c r="F96" i="19"/>
  <c r="N96" i="19" s="1"/>
  <c r="D102" i="19"/>
  <c r="F48" i="19"/>
  <c r="F55" i="19" s="1"/>
  <c r="F92" i="19"/>
  <c r="N38" i="19"/>
  <c r="F93" i="19"/>
  <c r="N93" i="19" s="1"/>
  <c r="N39" i="19"/>
  <c r="K20" i="3"/>
  <c r="F16" i="3"/>
  <c r="F101" i="19"/>
  <c r="N101" i="19" s="1"/>
  <c r="N47" i="19"/>
  <c r="F32" i="1"/>
  <c r="F54" i="19"/>
  <c r="N54" i="19" s="1"/>
  <c r="N50" i="19"/>
  <c r="D55" i="19"/>
  <c r="K19" i="3"/>
  <c r="N40" i="19"/>
  <c r="F94" i="19"/>
  <c r="N94" i="19" s="1"/>
  <c r="N48" i="19" l="1"/>
  <c r="F19" i="3"/>
  <c r="F20" i="3"/>
  <c r="D11" i="19"/>
  <c r="N55" i="19"/>
  <c r="F102" i="19"/>
  <c r="N102" i="19" s="1"/>
  <c r="N92" i="19"/>
</calcChain>
</file>

<file path=xl/sharedStrings.xml><?xml version="1.0" encoding="utf-8"?>
<sst xmlns="http://schemas.openxmlformats.org/spreadsheetml/2006/main" count="1235" uniqueCount="490">
  <si>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</si>
  <si>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</si>
  <si>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</si>
  <si>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</si>
  <si>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</si>
  <si>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</si>
  <si>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</si>
  <si>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</si>
  <si>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</si>
  <si>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</si>
  <si>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</si>
  <si>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</si>
  <si>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</si>
  <si>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</si>
  <si>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</si>
  <si>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</si>
  <si>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</si>
  <si>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</si>
  <si>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</si>
  <si>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</si>
  <si>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</si>
  <si>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</si>
  <si>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</si>
  <si>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</si>
  <si>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</si>
  <si>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</si>
  <si>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</si>
  <si>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</si>
  <si>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</si>
  <si>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</si>
  <si>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</si>
  <si>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</si>
  <si>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</si>
  <si>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</si>
  <si>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</si>
  <si>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</si>
  <si>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</si>
  <si>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</si>
  <si>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</si>
  <si>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</si>
  <si>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</si>
  <si>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</si>
  <si>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</si>
  <si>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</si>
  <si>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</si>
  <si>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</si>
  <si>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</si>
  <si>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</si>
  <si>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</si>
  <si>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</si>
  <si>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</si>
  <si>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</si>
  <si>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</si>
  <si>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</si>
  <si>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</si>
  <si>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</si>
  <si>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</si>
  <si>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</si>
  <si>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</si>
  <si>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</si>
  <si>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</si>
  <si>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</si>
  <si>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</si>
  <si>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</si>
  <si>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</si>
  <si>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</si>
  <si>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</si>
  <si>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</si>
  <si>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</si>
  <si>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</si>
  <si>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</si>
  <si>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</si>
  <si>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</si>
  <si>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</si>
  <si>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</si>
  <si>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</si>
  <si>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</si>
  <si>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</si>
  <si>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</si>
  <si>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</si>
  <si>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</si>
  <si>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</si>
  <si>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</si>
  <si>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</si>
  <si>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</si>
  <si>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</si>
  <si>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</si>
  <si>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</si>
  <si>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</si>
  <si>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</si>
  <si>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</si>
  <si>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</si>
  <si>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</si>
  <si>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</si>
  <si>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</si>
  <si>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</si>
  <si>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</si>
  <si>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</si>
  <si>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</si>
  <si>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</si>
  <si>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</si>
  <si>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</si>
  <si>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</si>
  <si>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</si>
  <si>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</si>
  <si>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</si>
  <si>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</si>
  <si>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</si>
  <si>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</si>
  <si>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</si>
  <si>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</si>
  <si>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</si>
  <si>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</si>
  <si>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</si>
  <si>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</si>
  <si>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</si>
  <si>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</si>
  <si>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</si>
  <si>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</si>
  <si>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</si>
  <si>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</si>
  <si>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</si>
  <si>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</si>
  <si>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</si>
  <si>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</si>
  <si>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</si>
  <si>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</si>
  <si>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</si>
  <si>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</si>
  <si>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</si>
  <si>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</si>
  <si>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</si>
  <si>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</si>
  <si>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</si>
  <si>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</si>
  <si>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</si>
  <si>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</si>
  <si>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</si>
  <si>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</si>
  <si>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</si>
  <si>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</si>
  <si>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</si>
  <si>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</si>
  <si>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</si>
  <si>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</si>
  <si>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</si>
  <si>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</si>
  <si>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</si>
  <si>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</si>
  <si>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</si>
  <si>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</si>
  <si>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</si>
  <si>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</si>
  <si>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</si>
  <si>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</si>
  <si>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</si>
  <si>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</si>
  <si>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</si>
  <si>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</si>
  <si>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</si>
  <si>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</si>
  <si>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</si>
  <si>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</si>
  <si>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</si>
  <si>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</si>
  <si>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</si>
  <si>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</si>
  <si>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</si>
  <si>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</si>
  <si>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</si>
  <si>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</si>
  <si>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</si>
  <si>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</si>
  <si>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</si>
  <si>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</si>
  <si>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</si>
  <si>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</si>
  <si>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</si>
  <si>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</si>
  <si>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</si>
  <si>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</si>
  <si>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</si>
  <si>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</si>
  <si>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</si>
  <si>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</si>
  <si>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</si>
  <si>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</si>
  <si>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</si>
  <si>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</si>
  <si>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</si>
  <si>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</si>
  <si>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</si>
  <si>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</si>
  <si>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</si>
  <si>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</si>
  <si>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</si>
  <si>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</si>
  <si>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</si>
  <si>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</si>
  <si>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</si>
  <si>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</si>
  <si>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</si>
  <si>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</si>
  <si>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</si>
  <si>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</si>
  <si>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</si>
  <si>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</si>
  <si>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</si>
  <si>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</si>
  <si>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</si>
  <si>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</si>
  <si>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</si>
  <si>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</si>
  <si>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</si>
  <si>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</si>
  <si>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</si>
  <si>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</si>
  <si>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</si>
  <si>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</si>
  <si>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</si>
  <si>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</si>
  <si>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</si>
  <si>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</si>
  <si>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</si>
  <si>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</si>
  <si>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</si>
  <si>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</si>
  <si>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</si>
  <si>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</si>
  <si>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</si>
  <si>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</si>
  <si>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</si>
  <si>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</si>
  <si>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</si>
  <si>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</si>
  <si>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</si>
  <si>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</si>
  <si>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</si>
  <si>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</si>
  <si>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</si>
  <si>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</si>
  <si>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</si>
  <si>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</si>
  <si>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</si>
  <si>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</si>
  <si>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</si>
  <si>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</si>
  <si>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</si>
  <si>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</si>
  <si>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</si>
  <si>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</si>
  <si>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</si>
  <si>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</si>
  <si>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</si>
  <si>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</si>
  <si>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</si>
  <si>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</si>
  <si>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</si>
  <si>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</si>
  <si>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</si>
  <si>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</si>
  <si>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</si>
  <si>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</si>
  <si>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</si>
  <si>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</si>
  <si>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</si>
  <si>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</si>
  <si>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</si>
  <si>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</si>
  <si>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</si>
  <si>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</si>
  <si>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</si>
  <si>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</si>
  <si>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</si>
  <si>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</si>
  <si>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</si>
  <si>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</si>
  <si>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</si>
  <si>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</si>
  <si>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</si>
  <si>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</si>
  <si>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</si>
  <si>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</si>
  <si>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</si>
  <si>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</si>
  <si>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</si>
  <si>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</si>
  <si>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</si>
  <si>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</si>
  <si>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</si>
  <si>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</si>
  <si>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</si>
  <si>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</si>
  <si>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</si>
  <si>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</si>
  <si>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</si>
  <si>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</si>
  <si>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</si>
  <si>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</si>
  <si>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</si>
  <si>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</si>
  <si>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</si>
  <si>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</si>
  <si>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</si>
  <si>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</si>
  <si>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</si>
  <si>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</si>
  <si>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</si>
  <si>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</si>
  <si>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</si>
  <si>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</si>
  <si>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</si>
  <si>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</si>
  <si>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</si>
  <si>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</si>
  <si>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</si>
  <si>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</si>
  <si>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</si>
  <si>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</si>
  <si>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</si>
  <si>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</si>
  <si>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</si>
  <si>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</si>
  <si>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</si>
  <si>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</si>
  <si>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</si>
  <si>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</si>
  <si>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</si>
  <si>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</si>
  <si>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</si>
  <si>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</si>
  <si>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</si>
  <si>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</si>
  <si>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</si>
  <si>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</si>
  <si>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</si>
  <si>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</si>
  <si>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</si>
  <si>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</si>
  <si>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</si>
  <si>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Total MHSA CSS Expenditures (Excluding Funds Transferred to JPA)</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</si>
  <si>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</si>
  <si>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</si>
  <si>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</si>
  <si>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</si>
  <si>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</si>
  <si>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</si>
  <si>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</si>
  <si>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</si>
  <si>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</si>
  <si>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</si>
  <si>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</si>
  <si>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</si>
  <si>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</si>
  <si>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</si>
  <si>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</si>
  <si>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</si>
  <si>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</si>
  <si>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</si>
  <si>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</si>
  <si>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</si>
  <si>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</si>
  <si>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</si>
  <si>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</si>
  <si>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</si>
  <si>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</si>
  <si>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</si>
  <si>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</si>
  <si>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</si>
  <si>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</si>
  <si>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</si>
  <si>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</si>
  <si>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</si>
  <si>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</si>
  <si>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</si>
  <si>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</si>
  <si>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</si>
  <si>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</si>
  <si>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</si>
  <si>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</si>
  <si>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</si>
  <si>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</si>
  <si>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</si>
  <si>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</si>
  <si>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</si>
  <si>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</si>
  <si>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</si>
  <si>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</si>
  <si>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Comopnent Summary</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</si>
  <si>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</si>
  <si>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</si>
  <si>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</si>
  <si>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</si>
  <si>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</si>
  <si>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</si>
  <si>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</si>
  <si>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</si>
  <si>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</si>
  <si>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</si>
  <si>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</si>
  <si>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</si>
  <si>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</si>
  <si>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</si>
  <si>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</si>
  <si>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</si>
  <si>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</si>
  <si>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</si>
  <si>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ARER Instructions</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</si>
  <si>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</si>
  <si>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</si>
  <si>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</si>
  <si>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</si>
  <si>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</si>
  <si>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</si>
  <si>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</si>
  <si>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</si>
  <si>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</si>
  <si>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</si>
  <si>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</si>
  <si>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</si>
  <si>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</si>
  <si>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</si>
  <si>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</si>
  <si>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</si>
  <si>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</si>
  <si>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</si>
  <si>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</si>
  <si>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Laurentius Harlan Theng</t>
  </si>
  <si>
    <t>Accountant</t>
  </si>
  <si>
    <t>ltheng@co.fresno.ca.us</t>
  </si>
  <si>
    <t>559-600-4619</t>
  </si>
  <si>
    <t>MHSA Cap Fac</t>
  </si>
  <si>
    <t>Integrated MH Inf System</t>
  </si>
  <si>
    <t>Integrated Discharge</t>
  </si>
  <si>
    <t>ED Team/Overnight Stay</t>
  </si>
  <si>
    <t>Holistic Center</t>
  </si>
  <si>
    <t>AB 109</t>
  </si>
  <si>
    <t>Adult Homeless Mentally Ill</t>
  </si>
  <si>
    <t>Children &amp; Youth Juvenile Justice Services</t>
  </si>
  <si>
    <t>Children ACT</t>
  </si>
  <si>
    <t>Children's Triage-Screening</t>
  </si>
  <si>
    <t>ICSST</t>
  </si>
  <si>
    <t>MHSA Adult Act</t>
  </si>
  <si>
    <t>MHSA FSP Coordinator</t>
  </si>
  <si>
    <t>SMART Model of Care</t>
  </si>
  <si>
    <t>Turning Point - VISTA</t>
  </si>
  <si>
    <t>Co-Occuring FSP</t>
  </si>
  <si>
    <t>TAY Services and Support</t>
  </si>
  <si>
    <t xml:space="preserve">Co-Occuring </t>
  </si>
  <si>
    <t>CPRS</t>
  </si>
  <si>
    <t>Cultural Specific Services</t>
  </si>
  <si>
    <t>Enhanced Peer Support</t>
  </si>
  <si>
    <t>Older Adult Team</t>
  </si>
  <si>
    <t>School Based Services Expansion</t>
  </si>
  <si>
    <t>Urgent Care/Wellness Center</t>
  </si>
  <si>
    <t>Children Welfare Mental Health</t>
  </si>
  <si>
    <t>Peer Family Wellness-Blue Sky</t>
  </si>
  <si>
    <t>PEI-Crisis and Acute Care</t>
  </si>
  <si>
    <t>PEI-Urgent Care Call Center</t>
  </si>
  <si>
    <t>PEI-Cultural Base Access</t>
  </si>
  <si>
    <t>Integrated Primary Care</t>
  </si>
  <si>
    <t>MHSA PEI Prim Care/MH Integrated</t>
  </si>
  <si>
    <t>PEI-Multi Agency/Access Program</t>
  </si>
  <si>
    <t>PEI First Onzet</t>
  </si>
  <si>
    <t>PEI Perinatal</t>
  </si>
  <si>
    <t>PEI School Base</t>
  </si>
  <si>
    <t>PEI Community Garden</t>
  </si>
  <si>
    <t>Team Decision Making</t>
  </si>
  <si>
    <t>Community Garden</t>
  </si>
  <si>
    <t>Based Access Navigation Specialist</t>
  </si>
  <si>
    <t>Community Response/Law Enforcement</t>
  </si>
  <si>
    <t>Functional Family Therapy MH</t>
  </si>
  <si>
    <t>Services at Primary Care Clinic</t>
  </si>
  <si>
    <t>K-12 School Based (Children/Youth/Family Prevention and Early Intervention)</t>
  </si>
  <si>
    <t>Multi-Agency Access Point (MAP)</t>
  </si>
  <si>
    <t>Blue Sky Wellness Center</t>
  </si>
  <si>
    <t>PEI Rural Triage-West</t>
  </si>
  <si>
    <t>3109 N. Millbrook Ave</t>
  </si>
  <si>
    <t>First Onzet Team</t>
  </si>
  <si>
    <t>Perinatal</t>
  </si>
  <si>
    <t>Exclude deposit for June 2016</t>
  </si>
  <si>
    <t>Community Integration FSP</t>
  </si>
  <si>
    <t>Enhanced Rural Services FSP</t>
  </si>
  <si>
    <t>Children&amp;Youth Juvenile Justice Services</t>
  </si>
  <si>
    <t>Children's Co-Ocurring</t>
  </si>
  <si>
    <t>DOR and PATH Expansion</t>
  </si>
  <si>
    <t>Enhanced Rural Serives-Outpatient</t>
  </si>
  <si>
    <t>Indigent Medications Expansion</t>
  </si>
  <si>
    <t>Children's Outpatient Expantion</t>
  </si>
  <si>
    <t>Enhanced Rural Services-Intensive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</si>
</sst>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1">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6" fillId="0" borderId="3"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5"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5"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6"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6"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5" xfId="0" applyNumberFormat="1" applyFont="1" applyFill="1" applyBorder="1" applyAlignment="1" applyProtection="1">
      <alignment horizontal="center"/>
      <protection locked="0"/>
    </xf>
    <xf numFmtId="164" fontId="15" fillId="0" borderId="48"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5"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5"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5" xfId="0" applyNumberFormat="1" applyFont="1" applyFill="1" applyBorder="1" applyAlignment="1" applyProtection="1">
      <protection locked="0"/>
    </xf>
    <xf numFmtId="164" fontId="15" fillId="0" borderId="45" xfId="0" applyNumberFormat="1" applyFont="1" applyFill="1" applyBorder="1" applyProtection="1">
      <protection locked="0"/>
    </xf>
    <xf numFmtId="164" fontId="15" fillId="0" borderId="47" xfId="0" applyNumberFormat="1" applyFont="1" applyFill="1" applyBorder="1" applyProtection="1">
      <protection locked="0"/>
    </xf>
    <xf numFmtId="164" fontId="15" fillId="3" borderId="7" xfId="0" applyNumberFormat="1" applyFont="1" applyFill="1" applyBorder="1" applyProtection="1"/>
    <xf numFmtId="164" fontId="15" fillId="0" borderId="45"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6"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31" xfId="0" applyNumberFormat="1" applyFont="1" applyFill="1" applyBorder="1" applyProtection="1"/>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5" xfId="0" applyFont="1" applyFill="1" applyBorder="1" applyProtection="1">
      <protection locked="0"/>
    </xf>
    <xf numFmtId="0" fontId="15" fillId="0" borderId="45" xfId="0" applyFont="1" applyFill="1" applyBorder="1" applyAlignment="1" applyProtection="1">
      <alignment horizontal="left"/>
      <protection locked="0"/>
    </xf>
    <xf numFmtId="164" fontId="15" fillId="3" borderId="32" xfId="0" applyNumberFormat="1" applyFont="1" applyFill="1" applyBorder="1" applyProtection="1"/>
    <xf numFmtId="164" fontId="15" fillId="0" borderId="46" xfId="0" applyNumberFormat="1" applyFont="1" applyBorder="1" applyProtection="1">
      <protection locked="0"/>
    </xf>
    <xf numFmtId="164" fontId="15" fillId="0" borderId="47" xfId="0" applyNumberFormat="1" applyFont="1" applyBorder="1" applyProtection="1">
      <protection locked="0"/>
    </xf>
    <xf numFmtId="0" fontId="15" fillId="0" borderId="49" xfId="0" applyFont="1" applyBorder="1" applyProtection="1">
      <protection locked="0"/>
    </xf>
    <xf numFmtId="0" fontId="15" fillId="0" borderId="49" xfId="0" applyFont="1" applyFill="1" applyBorder="1" applyAlignment="1" applyProtection="1">
      <alignment horizontal="left"/>
      <protection locked="0"/>
    </xf>
    <xf numFmtId="164" fontId="15" fillId="0" borderId="50" xfId="0" applyNumberFormat="1" applyFont="1" applyBorder="1" applyProtection="1">
      <protection locked="0"/>
    </xf>
    <xf numFmtId="164" fontId="15" fillId="0" borderId="49" xfId="0" applyNumberFormat="1" applyFont="1" applyBorder="1" applyProtection="1">
      <protection locked="0"/>
    </xf>
    <xf numFmtId="164" fontId="15" fillId="0" borderId="51"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8" xfId="0" applyNumberFormat="1" applyFont="1" applyFill="1" applyBorder="1" applyProtection="1">
      <protection locked="0"/>
    </xf>
    <xf numFmtId="164" fontId="15" fillId="3" borderId="19" xfId="0" applyNumberFormat="1" applyFont="1" applyFill="1" applyBorder="1" applyProtection="1"/>
    <xf numFmtId="164" fontId="15" fillId="0" borderId="52"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3"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5" xfId="0" applyFont="1" applyFill="1" applyBorder="1" applyAlignment="1" applyProtection="1">
      <alignment horizontal="center"/>
      <protection locked="0"/>
    </xf>
    <xf numFmtId="9" fontId="15" fillId="0" borderId="45" xfId="6" applyFont="1" applyFill="1" applyBorder="1" applyProtection="1">
      <protection locked="0"/>
    </xf>
    <xf numFmtId="169" fontId="15" fillId="3" borderId="2" xfId="6" applyNumberFormat="1" applyFont="1" applyFill="1" applyBorder="1" applyProtection="1"/>
    <xf numFmtId="164" fontId="15" fillId="0" borderId="46"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5"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6" xfId="0" applyNumberFormat="1" applyFont="1" applyFill="1" applyBorder="1" applyProtection="1">
      <protection locked="0"/>
    </xf>
    <xf numFmtId="164" fontId="15" fillId="2" borderId="45" xfId="0" applyNumberFormat="1" applyFont="1" applyFill="1" applyBorder="1" applyProtection="1">
      <protection locked="0"/>
    </xf>
    <xf numFmtId="164" fontId="15" fillId="2" borderId="47"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5" xfId="0" applyNumberFormat="1" applyFont="1" applyFill="1" applyBorder="1" applyAlignment="1" applyProtection="1">
      <alignment horizontal="center"/>
      <protection locked="0"/>
    </xf>
    <xf numFmtId="164" fontId="15" fillId="0" borderId="45" xfId="0" applyNumberFormat="1" applyFont="1" applyFill="1" applyBorder="1" applyAlignment="1" applyProtection="1">
      <alignment horizontal="center"/>
      <protection locked="0"/>
    </xf>
    <xf numFmtId="0" fontId="15" fillId="0" borderId="45" xfId="0" applyFont="1" applyBorder="1" applyAlignment="1" applyProtection="1">
      <alignment wrapText="1"/>
      <protection locked="0"/>
    </xf>
    <xf numFmtId="164" fontId="15" fillId="0" borderId="45"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3" xfId="0" applyFont="1" applyFill="1" applyBorder="1"/>
    <xf numFmtId="0" fontId="16" fillId="8" borderId="33" xfId="0" applyFont="1" applyFill="1" applyBorder="1" applyAlignment="1">
      <alignment wrapText="1"/>
    </xf>
    <xf numFmtId="0" fontId="16" fillId="8" borderId="34" xfId="0" applyFont="1" applyFill="1" applyBorder="1"/>
    <xf numFmtId="0" fontId="15" fillId="0" borderId="35"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6" xfId="0" applyFont="1" applyBorder="1"/>
    <xf numFmtId="0" fontId="15" fillId="0" borderId="37" xfId="0" applyFont="1" applyBorder="1"/>
    <xf numFmtId="165" fontId="15" fillId="0" borderId="38" xfId="0" applyNumberFormat="1" applyFont="1" applyBorder="1"/>
    <xf numFmtId="0" fontId="15" fillId="0" borderId="38" xfId="0" applyFont="1" applyBorder="1"/>
    <xf numFmtId="0" fontId="15" fillId="0" borderId="39"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40" xfId="3" applyFont="1" applyBorder="1" applyAlignment="1">
      <alignment horizontal="left"/>
    </xf>
    <xf numFmtId="171" fontId="2" fillId="0" borderId="41" xfId="3" applyNumberFormat="1" applyFont="1" applyBorder="1" applyAlignment="1">
      <alignment horizontal="right"/>
    </xf>
    <xf numFmtId="0" fontId="15" fillId="0" borderId="42" xfId="4" applyFont="1" applyBorder="1"/>
    <xf numFmtId="0" fontId="2" fillId="0" borderId="37" xfId="3" applyFont="1" applyBorder="1" applyAlignment="1">
      <alignment horizontal="left"/>
    </xf>
    <xf numFmtId="14" fontId="10" fillId="9" borderId="38" xfId="3" applyNumberFormat="1" applyFont="1" applyFill="1" applyBorder="1" applyAlignment="1">
      <alignment horizontal="right"/>
    </xf>
    <xf numFmtId="14" fontId="10" fillId="0" borderId="38" xfId="3" applyNumberFormat="1" applyFont="1" applyFill="1" applyBorder="1" applyAlignment="1">
      <alignment horizontal="right"/>
    </xf>
    <xf numFmtId="171" fontId="2" fillId="0" borderId="38" xfId="3" applyNumberFormat="1" applyFont="1" applyBorder="1" applyAlignment="1">
      <alignment horizontal="right"/>
    </xf>
    <xf numFmtId="171" fontId="2" fillId="9" borderId="39" xfId="3" applyNumberFormat="1" applyFont="1" applyFill="1" applyBorder="1" applyAlignment="1">
      <alignment horizontal="right"/>
    </xf>
    <xf numFmtId="0" fontId="2" fillId="0" borderId="35"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6" xfId="4" applyFont="1" applyBorder="1" applyAlignment="1">
      <alignment horizontal="center"/>
    </xf>
    <xf numFmtId="0" fontId="22" fillId="0" borderId="35"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6" xfId="4" applyNumberFormat="1" applyFont="1" applyBorder="1" applyAlignment="1">
      <alignment horizontal="center"/>
    </xf>
    <xf numFmtId="0" fontId="15" fillId="0" borderId="35"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5" xfId="4" applyFont="1" applyBorder="1" applyAlignment="1">
      <alignment vertical="center"/>
    </xf>
    <xf numFmtId="0" fontId="23" fillId="0" borderId="37" xfId="4" applyFont="1" applyBorder="1" applyAlignment="1">
      <alignment vertical="center"/>
    </xf>
    <xf numFmtId="3" fontId="23" fillId="0" borderId="38" xfId="4" applyNumberFormat="1" applyFont="1" applyBorder="1" applyAlignment="1">
      <alignment horizontal="right" vertical="center"/>
    </xf>
    <xf numFmtId="172" fontId="23" fillId="0" borderId="38" xfId="4" applyNumberFormat="1" applyFont="1" applyBorder="1" applyAlignment="1">
      <alignment horizontal="right" vertical="center"/>
    </xf>
    <xf numFmtId="0" fontId="24" fillId="0" borderId="41" xfId="4" applyFont="1" applyBorder="1"/>
    <xf numFmtId="0" fontId="15" fillId="0" borderId="0" xfId="4" applyFont="1" applyBorder="1"/>
    <xf numFmtId="0" fontId="15" fillId="0" borderId="38"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5"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20" fillId="0" borderId="0" xfId="1" applyFont="1" applyBorder="1" applyAlignment="1" applyProtection="1">
      <alignment horizontal="left"/>
    </xf>
    <xf numFmtId="0" fontId="15" fillId="0" borderId="1" xfId="0" applyFont="1" applyBorder="1" applyAlignment="1">
      <alignment horizontal="center"/>
    </xf>
    <xf numFmtId="0" fontId="15" fillId="0" borderId="1" xfId="0" applyFont="1" applyBorder="1" applyAlignment="1">
      <alignment wrapText="1"/>
    </xf>
    <xf numFmtId="0" fontId="15" fillId="0" borderId="18" xfId="0" applyFont="1" applyBorder="1" applyAlignment="1">
      <alignment horizontal="center"/>
    </xf>
    <xf numFmtId="0" fontId="15" fillId="0" borderId="18" xfId="0" applyFont="1" applyBorder="1" applyAlignment="1">
      <alignment horizontal="center"/>
    </xf>
    <xf numFmtId="0" fontId="15" fillId="0" borderId="1" xfId="0" applyFont="1" applyBorder="1" applyAlignment="1">
      <alignment wrapText="1"/>
    </xf>
    <xf numFmtId="0" fontId="16" fillId="0" borderId="1" xfId="0" applyFont="1" applyBorder="1" applyAlignment="1">
      <alignment horizontal="center"/>
    </xf>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4" xfId="0" applyNumberFormat="1" applyFont="1" applyBorder="1" applyAlignment="1" applyProtection="1">
      <alignment horizontal="left" vertical="center"/>
      <protection locked="0"/>
    </xf>
    <xf numFmtId="168" fontId="15" fillId="0" borderId="54"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15" fillId="0" borderId="54" xfId="0" applyFont="1" applyBorder="1" applyAlignment="1" applyProtection="1">
      <alignment horizontal="left" vertical="center"/>
      <protection locked="0"/>
    </xf>
    <xf numFmtId="0" fontId="15" fillId="0" borderId="54" xfId="0" applyFont="1" applyBorder="1" applyProtection="1">
      <protection locked="0"/>
    </xf>
    <xf numFmtId="167" fontId="15" fillId="0" borderId="54" xfId="0" applyNumberFormat="1" applyFont="1" applyBorder="1" applyAlignment="1" applyProtection="1">
      <alignment horizontal="left" vertical="center"/>
      <protection locked="0"/>
    </xf>
    <xf numFmtId="164" fontId="15" fillId="0" borderId="45" xfId="0" applyNumberFormat="1" applyFont="1" applyFill="1" applyBorder="1" applyProtection="1">
      <protection locked="0"/>
    </xf>
    <xf numFmtId="164" fontId="15" fillId="0" borderId="48" xfId="0" applyNumberFormat="1" applyFont="1" applyFill="1" applyBorder="1" applyProtection="1">
      <protection locked="0"/>
    </xf>
    <xf numFmtId="164" fontId="15" fillId="0" borderId="45" xfId="0" applyNumberFormat="1" applyFont="1" applyFill="1" applyBorder="1" applyAlignment="1" applyProtection="1">
      <alignment horizontal="center"/>
      <protection locked="0"/>
    </xf>
    <xf numFmtId="164" fontId="15" fillId="0" borderId="45" xfId="0" applyNumberFormat="1" applyFont="1" applyBorder="1" applyAlignment="1" applyProtection="1">
      <alignment horizontal="center"/>
      <protection locked="0"/>
    </xf>
    <xf numFmtId="0" fontId="15" fillId="0" borderId="45" xfId="0" applyFont="1" applyBorder="1" applyProtection="1">
      <protection locked="0"/>
    </xf>
    <xf numFmtId="0" fontId="15" fillId="0" borderId="45" xfId="0" applyFont="1" applyFill="1" applyBorder="1" applyProtection="1">
      <protection locked="0"/>
    </xf>
    <xf numFmtId="0" fontId="15" fillId="0" borderId="45" xfId="0" applyFont="1" applyFill="1" applyBorder="1" applyAlignment="1" applyProtection="1">
      <alignment horizontal="center"/>
      <protection locked="0"/>
    </xf>
    <xf numFmtId="0" fontId="15" fillId="0" borderId="45" xfId="0" applyFont="1" applyBorder="1" applyAlignment="1" applyProtection="1">
      <alignment wrapText="1"/>
      <protection locked="0"/>
    </xf>
    <xf numFmtId="0" fontId="15" fillId="0" borderId="54" xfId="0" applyFont="1" applyBorder="1" applyAlignment="1" applyProtection="1">
      <alignment horizontal="left" vertical="center" wrapText="1"/>
      <protection locked="0"/>
    </xf>
    <xf numFmtId="0" fontId="15" fillId="0" borderId="45" xfId="0" applyFont="1" applyFill="1" applyBorder="1" applyAlignment="1" applyProtection="1">
      <alignment horizontal="left"/>
      <protection locked="0"/>
    </xf>
    <xf numFmtId="0" fontId="15" fillId="0" borderId="0" xfId="0" applyFont="1" applyProtection="1">
      <protection locked="0"/>
    </xf>
    <xf numFmtId="0" fontId="15" fillId="0" borderId="0" xfId="0" applyFont="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3"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2"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2"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4" xfId="0" applyFont="1" applyFill="1" applyBorder="1" applyAlignment="1">
      <alignment horizontal="center"/>
    </xf>
    <xf numFmtId="0" fontId="16" fillId="8" borderId="33" xfId="0" applyFont="1" applyFill="1" applyBorder="1" applyAlignment="1">
      <alignment horizontal="center"/>
    </xf>
    <xf numFmtId="0" fontId="10" fillId="0" borderId="41" xfId="3" applyFont="1" applyBorder="1" applyAlignment="1">
      <alignment horizontal="center"/>
    </xf>
    <xf numFmtId="0" fontId="2" fillId="0" borderId="0" xfId="3" applyFont="1" applyBorder="1" applyAlignment="1">
      <alignment horizontal="center"/>
    </xf>
    <xf numFmtId="172" fontId="6" fillId="0" borderId="42" xfId="4" applyNumberFormat="1" applyFont="1" applyBorder="1" applyAlignment="1">
      <alignment horizontal="center"/>
    </xf>
    <xf numFmtId="172" fontId="6" fillId="0" borderId="36" xfId="4" applyNumberFormat="1" applyFont="1" applyBorder="1" applyAlignment="1">
      <alignment horizontal="center"/>
    </xf>
    <xf numFmtId="172" fontId="6" fillId="0" borderId="39" xfId="4" applyNumberFormat="1" applyFont="1" applyBorder="1" applyAlignment="1">
      <alignment horizontal="center"/>
    </xf>
    <xf numFmtId="0" fontId="6" fillId="0" borderId="40" xfId="4" applyFont="1" applyBorder="1"/>
    <xf numFmtId="3" fontId="6" fillId="0" borderId="41" xfId="4" applyNumberFormat="1" applyFont="1" applyBorder="1"/>
    <xf numFmtId="0" fontId="6" fillId="0" borderId="35" xfId="4" applyFont="1" applyBorder="1"/>
    <xf numFmtId="3" fontId="6" fillId="0" borderId="0" xfId="4" applyNumberFormat="1" applyFont="1" applyBorder="1"/>
    <xf numFmtId="0" fontId="6" fillId="0" borderId="37" xfId="0" applyFont="1" applyBorder="1"/>
    <xf numFmtId="3" fontId="6" fillId="0" borderId="38"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706BC339-7A43-4D1D-8D46-B49A94883A7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7"/>
  </cols>
  <sheetData>
    <row r="1" spans="1:6" ht="15.75" x14ac:dyDescent="0.25">
      <c r="A1" s="137" t="s">
        <v>418</v>
      </c>
    </row>
    <row r="2" spans="1:6" x14ac:dyDescent="0.2">
      <c r="A2" s="410" t="s">
        <v>422</v>
      </c>
    </row>
    <row r="3" spans="1:6" x14ac:dyDescent="0.2">
      <c r="A3" s="407" t="s">
        <v>419</v>
      </c>
    </row>
    <row r="16" spans="1:6" x14ac:dyDescent="0.2">
      <c r="F16" s="419"/>
    </row>
    <row r="26" spans="5:6" x14ac:dyDescent="0.2">
      <c r="E26" s="421"/>
    </row>
    <row r="28" spans="5:6" x14ac:dyDescent="0.2">
      <c r="F28" s="411"/>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K1" sqref="K1"/>
    </sheetView>
  </sheetViews>
  <sheetFormatPr defaultColWidth="0" defaultRowHeight="15" zeroHeight="1" x14ac:dyDescent="0.2"/>
  <cols>
    <col min="1" max="1" width="2.7109375" style="88" customWidth="1"/>
    <col min="2" max="2" width="44.28515625" style="88" customWidth="1"/>
    <col min="3" max="3" width="98.85546875" style="88" customWidth="1"/>
    <col min="4" max="11" width="9.140625" style="88" customWidth="1"/>
    <col min="12" max="16384" width="9.140625" style="88" hidden="1"/>
  </cols>
  <sheetData>
    <row r="1" spans="1:7" ht="21" customHeight="1" x14ac:dyDescent="0.2">
      <c r="A1" s="3"/>
      <c r="B1" s="138" t="s">
        <v>376</v>
      </c>
      <c r="C1" s="3"/>
    </row>
    <row r="2" spans="1:7" ht="18" x14ac:dyDescent="0.25">
      <c r="A2" s="3"/>
      <c r="B2" s="139" t="s">
        <v>0</v>
      </c>
      <c r="C2" s="3"/>
    </row>
    <row r="3" spans="1:7" ht="18" x14ac:dyDescent="0.2">
      <c r="B3" s="423" t="s">
        <v>407</v>
      </c>
    </row>
    <row r="4" spans="1:7" ht="11.25" customHeight="1" x14ac:dyDescent="0.25">
      <c r="B4" s="137"/>
    </row>
    <row r="5" spans="1:7" ht="39.950000000000003" customHeight="1" x14ac:dyDescent="0.2">
      <c r="B5" s="447" t="s">
        <v>408</v>
      </c>
      <c r="C5" s="447"/>
      <c r="F5" s="388"/>
    </row>
    <row r="6" spans="1:7" ht="55.5" customHeight="1" x14ac:dyDescent="0.2">
      <c r="B6" s="448" t="s">
        <v>426</v>
      </c>
      <c r="C6" s="448"/>
      <c r="F6" s="386"/>
      <c r="G6" s="388"/>
    </row>
    <row r="7" spans="1:7" ht="39.950000000000003" customHeight="1" x14ac:dyDescent="0.2">
      <c r="B7" s="448" t="s">
        <v>410</v>
      </c>
      <c r="C7" s="448"/>
      <c r="E7" s="386"/>
      <c r="F7" s="387"/>
    </row>
    <row r="8" spans="1:7" ht="39.950000000000003" customHeight="1" x14ac:dyDescent="0.2">
      <c r="B8" s="448" t="s">
        <v>409</v>
      </c>
      <c r="C8" s="448"/>
      <c r="D8" s="385"/>
    </row>
    <row r="9" spans="1:7" x14ac:dyDescent="0.2"/>
    <row r="10" spans="1:7" ht="29.25" customHeight="1" x14ac:dyDescent="0.2">
      <c r="B10" s="447" t="s">
        <v>413</v>
      </c>
      <c r="C10" s="447" t="s">
        <v>421</v>
      </c>
    </row>
    <row r="11" spans="1:7" ht="18" customHeight="1" x14ac:dyDescent="0.2">
      <c r="B11" s="447"/>
      <c r="C11" s="447"/>
    </row>
    <row r="12" spans="1:7" ht="60.75" customHeight="1" x14ac:dyDescent="0.2">
      <c r="B12" s="444" t="s">
        <v>414</v>
      </c>
      <c r="C12" s="420" t="s">
        <v>424</v>
      </c>
    </row>
    <row r="13" spans="1:7" ht="42" customHeight="1" x14ac:dyDescent="0.2">
      <c r="B13" s="445"/>
      <c r="C13" s="204" t="s">
        <v>412</v>
      </c>
    </row>
    <row r="14" spans="1:7" ht="53.25" customHeight="1" x14ac:dyDescent="0.2">
      <c r="B14" s="446"/>
      <c r="C14" s="420" t="s">
        <v>425</v>
      </c>
    </row>
    <row r="15" spans="1:7" ht="54" customHeight="1" x14ac:dyDescent="0.2">
      <c r="B15" s="422" t="s">
        <v>415</v>
      </c>
      <c r="C15" s="204" t="s">
        <v>411</v>
      </c>
    </row>
    <row r="16" spans="1:7" ht="50.25" customHeight="1" x14ac:dyDescent="0.2">
      <c r="B16" s="204" t="s">
        <v>416</v>
      </c>
      <c r="C16" s="204" t="s">
        <v>417</v>
      </c>
    </row>
    <row r="17" spans="2:2" hidden="1" x14ac:dyDescent="0.2">
      <c r="B17" s="407"/>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6" sqref="D6"/>
    </sheetView>
  </sheetViews>
  <sheetFormatPr defaultColWidth="0" defaultRowHeight="15" zeroHeight="1" x14ac:dyDescent="0.2"/>
  <cols>
    <col min="1" max="1" width="2.7109375" style="218" customWidth="1"/>
    <col min="2" max="2" width="6.7109375" style="218" customWidth="1"/>
    <col min="3" max="4" width="50.7109375" style="218" customWidth="1"/>
    <col min="5" max="7" width="9.140625" style="218" hidden="1" customWidth="1"/>
    <col min="8" max="16384" width="9.140625" style="218" hidden="1"/>
  </cols>
  <sheetData>
    <row r="1" spans="1:4" ht="18" x14ac:dyDescent="0.2">
      <c r="A1" s="217"/>
      <c r="B1" s="397" t="s">
        <v>376</v>
      </c>
      <c r="C1" s="1"/>
      <c r="D1" s="424"/>
    </row>
    <row r="2" spans="1:4" ht="18" x14ac:dyDescent="0.2">
      <c r="A2" s="217"/>
      <c r="B2" s="397" t="s">
        <v>0</v>
      </c>
      <c r="C2" s="1"/>
      <c r="D2" s="424"/>
    </row>
    <row r="3" spans="1:4" ht="18" x14ac:dyDescent="0.2">
      <c r="A3" s="217"/>
      <c r="B3" s="397" t="s">
        <v>345</v>
      </c>
      <c r="C3" s="1"/>
      <c r="D3" s="424"/>
    </row>
    <row r="4" spans="1:4" x14ac:dyDescent="0.2">
      <c r="A4" s="217"/>
      <c r="B4" s="217"/>
      <c r="C4" s="217"/>
      <c r="D4" s="425"/>
    </row>
    <row r="5" spans="1:4" ht="34.5" customHeight="1" x14ac:dyDescent="0.2">
      <c r="A5" s="217"/>
      <c r="B5" s="286">
        <v>1</v>
      </c>
      <c r="C5" s="220" t="s">
        <v>3</v>
      </c>
      <c r="D5" s="426">
        <v>43223</v>
      </c>
    </row>
    <row r="6" spans="1:4" ht="34.5" customHeight="1" x14ac:dyDescent="0.2">
      <c r="A6" s="217"/>
      <c r="B6" s="286">
        <v>2</v>
      </c>
      <c r="C6" s="220" t="s">
        <v>2</v>
      </c>
      <c r="D6" s="429" t="s">
        <v>87</v>
      </c>
    </row>
    <row r="7" spans="1:4" ht="34.5" customHeight="1" x14ac:dyDescent="0.2">
      <c r="A7" s="217"/>
      <c r="B7" s="286">
        <v>3</v>
      </c>
      <c r="C7" s="221" t="s">
        <v>162</v>
      </c>
      <c r="D7" s="222">
        <f>IF(ISBLANK(D6),"",VLOOKUP(D6,Info_County_Code,2))</f>
        <v>10</v>
      </c>
    </row>
    <row r="8" spans="1:4" ht="34.5" customHeight="1" x14ac:dyDescent="0.2">
      <c r="A8" s="217"/>
      <c r="B8" s="286">
        <v>4</v>
      </c>
      <c r="C8" s="220" t="s">
        <v>163</v>
      </c>
      <c r="D8" s="440" t="s">
        <v>477</v>
      </c>
    </row>
    <row r="9" spans="1:4" ht="34.5" customHeight="1" x14ac:dyDescent="0.2">
      <c r="A9" s="217"/>
      <c r="B9" s="286">
        <v>5</v>
      </c>
      <c r="C9" s="220" t="s">
        <v>164</v>
      </c>
      <c r="D9" s="429" t="s">
        <v>87</v>
      </c>
    </row>
    <row r="10" spans="1:4" ht="34.5" customHeight="1" x14ac:dyDescent="0.2">
      <c r="A10" s="217"/>
      <c r="B10" s="286">
        <v>6</v>
      </c>
      <c r="C10" s="220" t="s">
        <v>165</v>
      </c>
      <c r="D10" s="427">
        <v>93730</v>
      </c>
    </row>
    <row r="11" spans="1:4" ht="34.5" customHeight="1" x14ac:dyDescent="0.2">
      <c r="A11" s="217"/>
      <c r="B11" s="286">
        <v>7</v>
      </c>
      <c r="C11" s="223" t="s">
        <v>242</v>
      </c>
      <c r="D11" s="224" t="str">
        <f>IF(ISBLANK(D6),"",VLOOKUP(D6,County_Population,5,FALSE))</f>
        <v>Yes</v>
      </c>
    </row>
    <row r="12" spans="1:4" ht="34.5" customHeight="1" x14ac:dyDescent="0.2">
      <c r="A12" s="217"/>
      <c r="B12" s="286">
        <v>8</v>
      </c>
      <c r="C12" s="220" t="s">
        <v>161</v>
      </c>
      <c r="D12" s="429" t="s">
        <v>427</v>
      </c>
    </row>
    <row r="13" spans="1:4" ht="34.5" customHeight="1" x14ac:dyDescent="0.2">
      <c r="A13" s="217"/>
      <c r="B13" s="286">
        <v>9</v>
      </c>
      <c r="C13" s="225" t="s">
        <v>273</v>
      </c>
      <c r="D13" s="430" t="s">
        <v>428</v>
      </c>
    </row>
    <row r="14" spans="1:4" ht="34.5" customHeight="1" x14ac:dyDescent="0.2">
      <c r="A14" s="217"/>
      <c r="B14" s="286">
        <v>10</v>
      </c>
      <c r="C14" s="225" t="s">
        <v>298</v>
      </c>
      <c r="D14" s="430" t="s">
        <v>429</v>
      </c>
    </row>
    <row r="15" spans="1:4" ht="34.5" customHeight="1" x14ac:dyDescent="0.2">
      <c r="A15" s="217"/>
      <c r="B15" s="286">
        <v>11</v>
      </c>
      <c r="C15" s="220" t="s">
        <v>274</v>
      </c>
      <c r="D15" s="431" t="s">
        <v>430</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6"/>
  <sheetViews>
    <sheetView showGridLines="0" zoomScale="70" zoomScaleNormal="70" zoomScaleSheetLayoutView="40" workbookViewId="0">
      <pane xSplit="3" ySplit="14" topLeftCell="D72" activePane="bottomRight" state="frozen"/>
      <selection pane="topRight" activeCell="D1" sqref="D1"/>
      <selection pane="bottomLeft" activeCell="A15" sqref="A15"/>
      <selection pane="bottomRight" activeCell="E25" sqref="E25"/>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6" width="17.28515625" style="12" customWidth="1"/>
    <col min="7" max="7" width="15.7109375" style="12" customWidth="1"/>
    <col min="8" max="8" width="17.28515625" style="12" customWidth="1"/>
    <col min="9" max="12" width="15.7109375" style="12" customWidth="1"/>
    <col min="13" max="13" width="17.140625" style="12" customWidth="1"/>
    <col min="14" max="14" width="20.7109375" style="12" customWidth="1"/>
    <col min="15" max="15" width="9.140625" style="12" hidden="1" customWidth="1"/>
    <col min="16" max="16384" width="9.140625" style="12" hidden="1"/>
  </cols>
  <sheetData>
    <row r="1" spans="1:14" ht="21" customHeight="1" x14ac:dyDescent="0.2">
      <c r="A1" s="3"/>
      <c r="B1" s="138" t="s">
        <v>376</v>
      </c>
      <c r="C1" s="3"/>
      <c r="D1" s="3"/>
      <c r="E1" s="3"/>
      <c r="F1" s="3"/>
      <c r="G1" s="3"/>
      <c r="H1" s="3"/>
      <c r="I1" s="3"/>
      <c r="J1" s="3"/>
      <c r="K1" s="3"/>
      <c r="L1" s="3"/>
      <c r="M1" s="3"/>
      <c r="N1" s="3"/>
    </row>
    <row r="2" spans="1:14" ht="18" x14ac:dyDescent="0.25">
      <c r="A2" s="3"/>
      <c r="B2" s="139" t="s">
        <v>0</v>
      </c>
      <c r="C2" s="3"/>
      <c r="D2" s="105"/>
      <c r="E2" s="105"/>
      <c r="F2" s="105"/>
      <c r="G2" s="105"/>
      <c r="H2" s="105"/>
      <c r="I2" s="3"/>
      <c r="J2" s="3"/>
      <c r="K2" s="3"/>
      <c r="L2" s="3"/>
      <c r="M2" s="3"/>
      <c r="N2" s="3"/>
    </row>
    <row r="3" spans="1:14" ht="18" x14ac:dyDescent="0.25">
      <c r="A3" s="3"/>
      <c r="B3" s="139" t="s">
        <v>388</v>
      </c>
      <c r="C3" s="105"/>
      <c r="D3" s="105"/>
      <c r="E3" s="105"/>
      <c r="F3" s="105"/>
      <c r="G3" s="105"/>
      <c r="H3" s="105"/>
      <c r="I3" s="3"/>
      <c r="J3" s="3"/>
      <c r="K3" s="3"/>
      <c r="L3" s="3"/>
      <c r="M3" s="3"/>
      <c r="N3" s="3"/>
    </row>
    <row r="4" spans="1:14" ht="15.75" x14ac:dyDescent="0.2">
      <c r="A4" s="3"/>
      <c r="B4" s="3"/>
      <c r="C4" s="105"/>
      <c r="D4" s="105"/>
      <c r="E4" s="105"/>
      <c r="F4" s="105"/>
      <c r="G4" s="105"/>
      <c r="H4" s="105"/>
      <c r="I4" s="3"/>
      <c r="J4" s="3"/>
      <c r="K4" s="3"/>
      <c r="L4" s="3"/>
      <c r="M4" s="3"/>
      <c r="N4" s="3"/>
    </row>
    <row r="5" spans="1:14" ht="15.75" x14ac:dyDescent="0.25">
      <c r="A5" s="3"/>
      <c r="B5" s="449" t="s">
        <v>2</v>
      </c>
      <c r="C5" s="449"/>
      <c r="D5" s="54" t="str">
        <f>IF(ISBLANK('1. Information'!D6),"",'1. Information'!D6)</f>
        <v>Fresno</v>
      </c>
      <c r="E5" s="3"/>
      <c r="F5" s="205" t="s">
        <v>3</v>
      </c>
      <c r="G5" s="54">
        <f>IF(ISBLANK('1. Information'!D5),"",'1. Information'!D5)</f>
        <v>43223</v>
      </c>
      <c r="H5" s="3"/>
      <c r="I5" s="391"/>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7"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7">
        <v>1</v>
      </c>
      <c r="C9" s="206" t="s">
        <v>40</v>
      </c>
      <c r="D9" s="10">
        <f>'3. CSS'!F14+'4. PEI'!F14+'5. INN'!F14+'6. WET'!F14+'7. CFTN'!F14</f>
        <v>0</v>
      </c>
      <c r="E9" s="11" t="str">
        <f>IF(AND(N33&gt;0,D9&gt;0),D9/N33,"")</f>
        <v/>
      </c>
      <c r="F9" s="409" t="s">
        <v>420</v>
      </c>
      <c r="G9" s="6"/>
      <c r="H9" s="4"/>
      <c r="I9" s="4"/>
      <c r="J9" s="4"/>
      <c r="K9" s="4"/>
      <c r="L9" s="4"/>
      <c r="M9" s="4"/>
      <c r="N9" s="4"/>
    </row>
    <row r="10" spans="1:14" ht="15.75" x14ac:dyDescent="0.25">
      <c r="A10" s="4"/>
      <c r="B10" s="57">
        <v>2</v>
      </c>
      <c r="C10" s="206" t="s">
        <v>41</v>
      </c>
      <c r="D10" s="10">
        <f>'3. CSS'!F15+'4. PEI'!F15+'5. INN'!F17+'6. WET'!F15+'7. CFTN'!F16+'7. CFTN'!F17</f>
        <v>0</v>
      </c>
      <c r="E10" s="13"/>
      <c r="F10" s="214"/>
      <c r="G10" s="4"/>
      <c r="H10" s="4"/>
      <c r="I10" s="4"/>
      <c r="J10" s="4"/>
      <c r="K10" s="4"/>
      <c r="L10" s="4"/>
      <c r="M10" s="4"/>
      <c r="N10" s="4"/>
    </row>
    <row r="11" spans="1:14" ht="15.75" x14ac:dyDescent="0.25">
      <c r="A11" s="4"/>
      <c r="B11" s="57">
        <v>3</v>
      </c>
      <c r="C11" s="206" t="s">
        <v>42</v>
      </c>
      <c r="D11" s="10">
        <f>'3. CSS'!F16+'4. PEI'!F16+'5. INN'!F15+'5. INN'!F16+'6. WET'!F16+'7. CFTN'!F18+'7. CFTN'!F19</f>
        <v>7307986.2499999991</v>
      </c>
      <c r="E11" s="13"/>
      <c r="F11" s="214"/>
      <c r="G11" s="4"/>
      <c r="H11" s="4"/>
      <c r="I11" s="4"/>
      <c r="J11" s="4"/>
      <c r="K11" s="4"/>
      <c r="L11" s="4"/>
      <c r="M11" s="4"/>
      <c r="N11" s="4"/>
    </row>
    <row r="12" spans="1:14" ht="15.75" x14ac:dyDescent="0.25">
      <c r="A12" s="4"/>
      <c r="B12" s="4"/>
      <c r="C12" s="7"/>
      <c r="D12" s="215"/>
      <c r="E12" s="215"/>
      <c r="F12" s="215"/>
      <c r="G12" s="215"/>
      <c r="H12" s="215"/>
      <c r="I12" s="215"/>
      <c r="J12" s="215"/>
      <c r="K12" s="215"/>
      <c r="L12" s="215"/>
      <c r="M12" s="215"/>
      <c r="N12" s="215"/>
    </row>
    <row r="13" spans="1:14" ht="15.75" x14ac:dyDescent="0.25">
      <c r="A13" s="4"/>
      <c r="B13" s="4"/>
      <c r="C13" s="14"/>
      <c r="D13" s="73" t="s">
        <v>59</v>
      </c>
      <c r="E13" s="73" t="s">
        <v>61</v>
      </c>
      <c r="F13" s="73" t="s">
        <v>65</v>
      </c>
      <c r="G13" s="73" t="s">
        <v>350</v>
      </c>
      <c r="H13" s="57" t="s">
        <v>351</v>
      </c>
      <c r="I13" s="57" t="s">
        <v>352</v>
      </c>
      <c r="J13" s="57" t="s">
        <v>361</v>
      </c>
      <c r="K13" s="57" t="s">
        <v>353</v>
      </c>
      <c r="L13" s="57" t="s">
        <v>354</v>
      </c>
      <c r="M13" s="57" t="s">
        <v>355</v>
      </c>
      <c r="N13" s="57" t="s">
        <v>356</v>
      </c>
    </row>
    <row r="14" spans="1:14" ht="24" customHeight="1" x14ac:dyDescent="0.25">
      <c r="A14" s="98"/>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8"/>
      <c r="B15" s="216" t="s">
        <v>378</v>
      </c>
      <c r="C15" s="95"/>
      <c r="D15" s="96"/>
      <c r="E15" s="97"/>
      <c r="F15" s="97"/>
      <c r="G15" s="97"/>
      <c r="H15" s="97"/>
      <c r="I15" s="97"/>
      <c r="J15" s="97"/>
      <c r="K15" s="97"/>
      <c r="L15" s="97"/>
      <c r="M15" s="97"/>
      <c r="N15" s="97"/>
    </row>
    <row r="16" spans="1:14" ht="24" customHeight="1" x14ac:dyDescent="0.2">
      <c r="A16" s="98"/>
      <c r="B16" s="100">
        <v>1</v>
      </c>
      <c r="C16" s="19" t="s">
        <v>43</v>
      </c>
      <c r="D16" s="20"/>
      <c r="E16" s="20"/>
      <c r="F16" s="20"/>
      <c r="G16" s="30"/>
      <c r="H16" s="20"/>
      <c r="I16" s="20"/>
      <c r="J16" s="20"/>
      <c r="K16" s="20"/>
      <c r="L16" s="39"/>
      <c r="M16" s="38">
        <v>12823713</v>
      </c>
      <c r="N16" s="42">
        <f>M16</f>
        <v>12823713</v>
      </c>
    </row>
    <row r="17" spans="1:14" ht="24" customHeight="1" x14ac:dyDescent="0.2">
      <c r="A17" s="98"/>
      <c r="B17" s="100">
        <v>2</v>
      </c>
      <c r="C17" s="19" t="s">
        <v>44</v>
      </c>
      <c r="D17" s="20"/>
      <c r="E17" s="20"/>
      <c r="F17" s="39"/>
      <c r="G17" s="38"/>
      <c r="H17" s="44"/>
      <c r="I17" s="20"/>
      <c r="J17" s="20"/>
      <c r="K17" s="20"/>
      <c r="L17" s="20"/>
      <c r="M17" s="47"/>
      <c r="N17" s="21">
        <f>SUM(D17:L17)</f>
        <v>0</v>
      </c>
    </row>
    <row r="18" spans="1:14" ht="24" customHeight="1" x14ac:dyDescent="0.2">
      <c r="A18" s="98"/>
      <c r="B18" s="100">
        <v>3</v>
      </c>
      <c r="C18" s="19" t="s">
        <v>45</v>
      </c>
      <c r="D18" s="30"/>
      <c r="E18" s="30"/>
      <c r="F18" s="43"/>
      <c r="G18" s="38"/>
      <c r="H18" s="38"/>
      <c r="I18" s="44"/>
      <c r="J18" s="30"/>
      <c r="K18" s="30"/>
      <c r="L18" s="20"/>
      <c r="M18" s="20"/>
      <c r="N18" s="21">
        <f t="shared" ref="N18:N26" si="0">SUM(D18:L18)</f>
        <v>0</v>
      </c>
    </row>
    <row r="19" spans="1:14" ht="24" customHeight="1" x14ac:dyDescent="0.2">
      <c r="A19" s="98"/>
      <c r="B19" s="100">
        <v>4</v>
      </c>
      <c r="C19" s="19" t="s">
        <v>46</v>
      </c>
      <c r="D19" s="432"/>
      <c r="E19" s="432"/>
      <c r="F19" s="432"/>
      <c r="G19" s="432"/>
      <c r="H19" s="432">
        <v>2972298</v>
      </c>
      <c r="I19" s="38"/>
      <c r="J19" s="38"/>
      <c r="K19" s="38"/>
      <c r="L19" s="41"/>
      <c r="M19" s="20"/>
      <c r="N19" s="21">
        <f t="shared" si="0"/>
        <v>2972298</v>
      </c>
    </row>
    <row r="20" spans="1:14" ht="24" customHeight="1" x14ac:dyDescent="0.2">
      <c r="A20" s="98"/>
      <c r="B20" s="100">
        <v>5</v>
      </c>
      <c r="C20" s="19" t="s">
        <v>47</v>
      </c>
      <c r="D20" s="432"/>
      <c r="E20" s="432"/>
      <c r="F20" s="432"/>
      <c r="G20" s="432">
        <v>3707550</v>
      </c>
      <c r="H20" s="432">
        <v>3270496</v>
      </c>
      <c r="I20" s="38"/>
      <c r="J20" s="38"/>
      <c r="K20" s="38"/>
      <c r="L20" s="41"/>
      <c r="M20" s="20"/>
      <c r="N20" s="21">
        <f t="shared" si="0"/>
        <v>6978046</v>
      </c>
    </row>
    <row r="21" spans="1:14" ht="24" customHeight="1" x14ac:dyDescent="0.2">
      <c r="A21" s="98"/>
      <c r="B21" s="100">
        <v>6</v>
      </c>
      <c r="C21" s="19" t="s">
        <v>48</v>
      </c>
      <c r="D21" s="432"/>
      <c r="E21" s="432"/>
      <c r="F21" s="432">
        <v>2030812</v>
      </c>
      <c r="G21" s="432"/>
      <c r="H21" s="432"/>
      <c r="I21" s="38"/>
      <c r="J21" s="38"/>
      <c r="K21" s="38"/>
      <c r="L21" s="41"/>
      <c r="M21" s="20"/>
      <c r="N21" s="21">
        <f t="shared" si="0"/>
        <v>2030812</v>
      </c>
    </row>
    <row r="22" spans="1:14" ht="24" customHeight="1" x14ac:dyDescent="0.2">
      <c r="A22" s="98"/>
      <c r="B22" s="100">
        <v>7</v>
      </c>
      <c r="C22" s="19" t="s">
        <v>49</v>
      </c>
      <c r="D22" s="432"/>
      <c r="E22" s="432"/>
      <c r="F22" s="432"/>
      <c r="G22" s="432"/>
      <c r="H22" s="432"/>
      <c r="I22" s="38"/>
      <c r="J22" s="38"/>
      <c r="K22" s="38"/>
      <c r="L22" s="41"/>
      <c r="M22" s="20"/>
      <c r="N22" s="21">
        <f t="shared" si="0"/>
        <v>0</v>
      </c>
    </row>
    <row r="23" spans="1:14" ht="24" customHeight="1" x14ac:dyDescent="0.2">
      <c r="A23" s="98"/>
      <c r="B23" s="100">
        <v>8</v>
      </c>
      <c r="C23" s="19" t="s">
        <v>50</v>
      </c>
      <c r="D23" s="432"/>
      <c r="E23" s="432"/>
      <c r="F23" s="432"/>
      <c r="G23" s="432"/>
      <c r="H23" s="432"/>
      <c r="I23" s="45"/>
      <c r="J23" s="38"/>
      <c r="K23" s="46"/>
      <c r="L23" s="20"/>
      <c r="M23" s="20"/>
      <c r="N23" s="21">
        <f t="shared" si="0"/>
        <v>0</v>
      </c>
    </row>
    <row r="24" spans="1:14" ht="24" customHeight="1" x14ac:dyDescent="0.2">
      <c r="A24" s="98"/>
      <c r="B24" s="100">
        <v>9</v>
      </c>
      <c r="C24" s="19" t="s">
        <v>51</v>
      </c>
      <c r="D24" s="432"/>
      <c r="E24" s="432"/>
      <c r="F24" s="432">
        <v>307497</v>
      </c>
      <c r="G24" s="432"/>
      <c r="H24" s="432"/>
      <c r="I24" s="40"/>
      <c r="J24" s="38"/>
      <c r="K24" s="41"/>
      <c r="L24" s="30"/>
      <c r="M24" s="20"/>
      <c r="N24" s="21">
        <f t="shared" si="0"/>
        <v>307497</v>
      </c>
    </row>
    <row r="25" spans="1:14" ht="24" customHeight="1" x14ac:dyDescent="0.2">
      <c r="A25" s="98"/>
      <c r="B25" s="100">
        <v>10</v>
      </c>
      <c r="C25" s="19" t="s">
        <v>52</v>
      </c>
      <c r="D25" s="432">
        <v>26221185.649999999</v>
      </c>
      <c r="E25" s="432">
        <v>7637373</v>
      </c>
      <c r="F25" s="432">
        <v>2128367</v>
      </c>
      <c r="G25" s="432"/>
      <c r="H25" s="432"/>
      <c r="I25" s="40"/>
      <c r="J25" s="38"/>
      <c r="K25" s="40"/>
      <c r="L25" s="38"/>
      <c r="M25" s="41"/>
      <c r="N25" s="21">
        <f t="shared" si="0"/>
        <v>35986925.649999999</v>
      </c>
    </row>
    <row r="26" spans="1:14" ht="24" customHeight="1" x14ac:dyDescent="0.2">
      <c r="A26" s="98"/>
      <c r="B26" s="100">
        <v>11</v>
      </c>
      <c r="C26" s="19" t="s">
        <v>53</v>
      </c>
      <c r="D26" s="433">
        <v>26058085.469999999</v>
      </c>
      <c r="E26" s="433">
        <v>6514521</v>
      </c>
      <c r="F26" s="433">
        <v>1714348</v>
      </c>
      <c r="G26" s="433"/>
      <c r="H26" s="433"/>
      <c r="I26" s="140"/>
      <c r="J26" s="182"/>
      <c r="K26" s="140"/>
      <c r="L26" s="182"/>
      <c r="M26" s="44"/>
      <c r="N26" s="21">
        <f t="shared" si="0"/>
        <v>34286954.469999999</v>
      </c>
    </row>
    <row r="27" spans="1:14" ht="24" customHeight="1" x14ac:dyDescent="0.2">
      <c r="A27" s="98"/>
      <c r="B27" s="101">
        <v>12</v>
      </c>
      <c r="C27" s="22" t="s">
        <v>54</v>
      </c>
      <c r="D27" s="38"/>
      <c r="E27" s="38"/>
      <c r="F27" s="38"/>
      <c r="G27" s="38"/>
      <c r="H27" s="38"/>
      <c r="I27" s="38"/>
      <c r="J27" s="38"/>
      <c r="K27" s="38"/>
      <c r="L27" s="38"/>
      <c r="M27" s="38"/>
      <c r="N27" s="48">
        <f>SUM(D27:M27)</f>
        <v>0</v>
      </c>
    </row>
    <row r="28" spans="1:14" ht="24" customHeight="1" x14ac:dyDescent="0.25">
      <c r="A28" s="98"/>
      <c r="B28" s="102">
        <v>13</v>
      </c>
      <c r="C28" s="24" t="s">
        <v>55</v>
      </c>
      <c r="D28" s="50">
        <f t="shared" ref="D28:M28" si="1">SUM(D16:D27)</f>
        <v>52279271.119999997</v>
      </c>
      <c r="E28" s="50">
        <f t="shared" si="1"/>
        <v>14151894</v>
      </c>
      <c r="F28" s="50">
        <f t="shared" si="1"/>
        <v>6181024</v>
      </c>
      <c r="G28" s="50">
        <f t="shared" si="1"/>
        <v>3707550</v>
      </c>
      <c r="H28" s="50">
        <f t="shared" si="1"/>
        <v>6242794</v>
      </c>
      <c r="I28" s="50">
        <f t="shared" si="1"/>
        <v>0</v>
      </c>
      <c r="J28" s="50">
        <f t="shared" si="1"/>
        <v>0</v>
      </c>
      <c r="K28" s="50">
        <f t="shared" si="1"/>
        <v>0</v>
      </c>
      <c r="L28" s="50">
        <f t="shared" si="1"/>
        <v>0</v>
      </c>
      <c r="M28" s="50">
        <f t="shared" si="1"/>
        <v>12823713</v>
      </c>
      <c r="N28" s="10">
        <f>SUM(D28:M28)</f>
        <v>95386246.120000005</v>
      </c>
    </row>
    <row r="29" spans="1:14" ht="24" customHeight="1" x14ac:dyDescent="0.25">
      <c r="A29" s="98"/>
      <c r="B29" s="92" t="s">
        <v>379</v>
      </c>
      <c r="C29" s="92"/>
      <c r="D29" s="93"/>
      <c r="E29" s="49"/>
      <c r="F29" s="49"/>
      <c r="G29" s="26"/>
      <c r="H29" s="26"/>
      <c r="I29" s="26"/>
      <c r="J29" s="26"/>
      <c r="K29" s="26"/>
      <c r="L29" s="26"/>
      <c r="M29" s="49"/>
      <c r="N29" s="26"/>
    </row>
    <row r="30" spans="1:14" ht="24" customHeight="1" x14ac:dyDescent="0.2">
      <c r="A30" s="98"/>
      <c r="B30" s="100">
        <v>1</v>
      </c>
      <c r="C30" s="19" t="s">
        <v>56</v>
      </c>
      <c r="D30" s="38"/>
      <c r="E30" s="38"/>
      <c r="F30" s="38"/>
      <c r="G30" s="41"/>
      <c r="H30" s="20"/>
      <c r="I30" s="20"/>
      <c r="J30" s="30"/>
      <c r="K30" s="20"/>
      <c r="L30" s="43"/>
      <c r="M30" s="38"/>
      <c r="N30" s="42">
        <f>SUM(D30:M30)</f>
        <v>0</v>
      </c>
    </row>
    <row r="31" spans="1:14" ht="24" customHeight="1" x14ac:dyDescent="0.2">
      <c r="A31" s="98"/>
      <c r="B31" s="100">
        <v>2</v>
      </c>
      <c r="C31" s="19" t="s">
        <v>57</v>
      </c>
      <c r="D31" s="432">
        <v>34500506.75</v>
      </c>
      <c r="E31" s="432">
        <v>8625126.6699999999</v>
      </c>
      <c r="F31" s="432">
        <v>2269770.1800000002</v>
      </c>
      <c r="G31" s="41"/>
      <c r="H31" s="20"/>
      <c r="I31" s="39"/>
      <c r="J31" s="38"/>
      <c r="K31" s="40"/>
      <c r="L31" s="38"/>
      <c r="M31" s="51"/>
      <c r="N31" s="21">
        <f>SUM(D31:M31)</f>
        <v>45395403.600000001</v>
      </c>
    </row>
    <row r="32" spans="1:14" ht="24" customHeight="1" x14ac:dyDescent="0.2">
      <c r="A32" s="98"/>
      <c r="B32" s="101">
        <v>3</v>
      </c>
      <c r="C32" s="22" t="s">
        <v>58</v>
      </c>
      <c r="D32" s="38">
        <v>583766.72</v>
      </c>
      <c r="E32" s="432">
        <v>119954.7</v>
      </c>
      <c r="F32" s="432">
        <v>56020.47</v>
      </c>
      <c r="G32" s="38">
        <v>46868.71</v>
      </c>
      <c r="H32" s="38">
        <v>100174.58</v>
      </c>
      <c r="I32" s="38"/>
      <c r="J32" s="38"/>
      <c r="K32" s="38"/>
      <c r="L32" s="38"/>
      <c r="M32" s="38">
        <v>509425.04</v>
      </c>
      <c r="N32" s="48">
        <f>SUM(D32:M32)</f>
        <v>1416210.2199999997</v>
      </c>
    </row>
    <row r="33" spans="1:14" ht="24" customHeight="1" x14ac:dyDescent="0.25">
      <c r="A33" s="98"/>
      <c r="B33" s="102">
        <v>4</v>
      </c>
      <c r="C33" s="24" t="s">
        <v>55</v>
      </c>
      <c r="D33" s="50">
        <f>SUM(D30:D32)</f>
        <v>35084273.469999999</v>
      </c>
      <c r="E33" s="50">
        <f t="shared" ref="E33:M33" si="2">SUM(E30:E32)</f>
        <v>8745081.3699999992</v>
      </c>
      <c r="F33" s="50">
        <f t="shared" si="2"/>
        <v>2325790.6500000004</v>
      </c>
      <c r="G33" s="50">
        <f t="shared" si="2"/>
        <v>46868.71</v>
      </c>
      <c r="H33" s="50">
        <f t="shared" si="2"/>
        <v>100174.58</v>
      </c>
      <c r="I33" s="50">
        <f t="shared" si="2"/>
        <v>0</v>
      </c>
      <c r="J33" s="50">
        <f t="shared" si="2"/>
        <v>0</v>
      </c>
      <c r="K33" s="50">
        <f t="shared" si="2"/>
        <v>0</v>
      </c>
      <c r="L33" s="50">
        <f t="shared" si="2"/>
        <v>0</v>
      </c>
      <c r="M33" s="50">
        <f t="shared" si="2"/>
        <v>509425.04</v>
      </c>
      <c r="N33" s="10">
        <f>SUM(D33:M33)</f>
        <v>46811613.819999993</v>
      </c>
    </row>
    <row r="34" spans="1:14" ht="24" customHeight="1" x14ac:dyDescent="0.25">
      <c r="A34" s="98"/>
      <c r="B34" s="92" t="s">
        <v>380</v>
      </c>
      <c r="C34" s="92"/>
      <c r="D34" s="94"/>
      <c r="E34" s="26"/>
      <c r="F34" s="26"/>
      <c r="G34" s="26"/>
      <c r="H34" s="26"/>
      <c r="I34" s="26"/>
      <c r="J34" s="26"/>
      <c r="K34" s="26"/>
      <c r="L34" s="26"/>
      <c r="M34" s="26"/>
      <c r="N34" s="26"/>
    </row>
    <row r="35" spans="1:14" ht="24" customHeight="1" x14ac:dyDescent="0.25">
      <c r="A35" s="98"/>
      <c r="B35" s="103">
        <v>1</v>
      </c>
      <c r="C35" s="28" t="s">
        <v>60</v>
      </c>
      <c r="D35" s="27"/>
      <c r="E35" s="27"/>
      <c r="F35" s="27"/>
      <c r="G35" s="27"/>
      <c r="H35" s="27"/>
      <c r="I35" s="27"/>
      <c r="J35" s="27"/>
      <c r="K35" s="27"/>
      <c r="L35" s="27"/>
      <c r="M35" s="27"/>
      <c r="N35" s="27"/>
    </row>
    <row r="36" spans="1:14" ht="24" customHeight="1" x14ac:dyDescent="0.2">
      <c r="A36" s="98"/>
      <c r="B36" s="100">
        <v>2</v>
      </c>
      <c r="C36" s="19" t="s">
        <v>44</v>
      </c>
      <c r="D36" s="20"/>
      <c r="E36" s="20"/>
      <c r="F36" s="20"/>
      <c r="G36" s="29">
        <f>'6. WET'!W20</f>
        <v>0</v>
      </c>
      <c r="H36" s="20"/>
      <c r="I36" s="20"/>
      <c r="J36" s="20"/>
      <c r="K36" s="20"/>
      <c r="L36" s="20"/>
      <c r="M36" s="20"/>
      <c r="N36" s="21">
        <f>SUM(D36:M36)</f>
        <v>0</v>
      </c>
    </row>
    <row r="37" spans="1:14" ht="24" customHeight="1" x14ac:dyDescent="0.2">
      <c r="A37" s="98"/>
      <c r="B37" s="100">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8"/>
      <c r="B38" s="100">
        <v>4</v>
      </c>
      <c r="C38" s="19" t="s">
        <v>46</v>
      </c>
      <c r="D38" s="20"/>
      <c r="E38" s="20"/>
      <c r="F38" s="21">
        <f>'5. INN'!U20</f>
        <v>0</v>
      </c>
      <c r="G38" s="21">
        <f>'6. WET'!U20</f>
        <v>0</v>
      </c>
      <c r="H38" s="21">
        <f>'7. CFTN'!U21</f>
        <v>2972298</v>
      </c>
      <c r="I38" s="21">
        <f>'8. TTACB, WET RP, HP'!T14</f>
        <v>0</v>
      </c>
      <c r="J38" s="21">
        <f>'8. TTACB, WET RP, HP'!T15</f>
        <v>0</v>
      </c>
      <c r="K38" s="21">
        <f>'4. PEI'!U17</f>
        <v>0</v>
      </c>
      <c r="L38" s="20"/>
      <c r="M38" s="20"/>
      <c r="N38" s="21">
        <f t="shared" si="3"/>
        <v>2972298</v>
      </c>
    </row>
    <row r="39" spans="1:14" ht="24" customHeight="1" x14ac:dyDescent="0.2">
      <c r="A39" s="98"/>
      <c r="B39" s="100">
        <v>5</v>
      </c>
      <c r="C39" s="19" t="s">
        <v>47</v>
      </c>
      <c r="D39" s="20"/>
      <c r="E39" s="20"/>
      <c r="F39" s="21">
        <f>'5. INN'!T20</f>
        <v>0</v>
      </c>
      <c r="G39" s="21">
        <f>'6. WET'!T20</f>
        <v>244603.36000000002</v>
      </c>
      <c r="H39" s="21">
        <f>'7. CFTN'!T21</f>
        <v>1376946.26</v>
      </c>
      <c r="I39" s="21">
        <f>'8. TTACB, WET RP, HP'!S14</f>
        <v>0</v>
      </c>
      <c r="J39" s="21">
        <f>'8. TTACB, WET RP, HP'!S15</f>
        <v>0</v>
      </c>
      <c r="K39" s="21">
        <f>'4. PEI'!T17</f>
        <v>0</v>
      </c>
      <c r="L39" s="20"/>
      <c r="M39" s="20"/>
      <c r="N39" s="21">
        <f t="shared" si="3"/>
        <v>1621549.62</v>
      </c>
    </row>
    <row r="40" spans="1:14" ht="24" customHeight="1" x14ac:dyDescent="0.2">
      <c r="A40" s="98"/>
      <c r="B40" s="100">
        <v>6</v>
      </c>
      <c r="C40" s="19" t="s">
        <v>48</v>
      </c>
      <c r="D40" s="20"/>
      <c r="E40" s="20"/>
      <c r="F40" s="21">
        <f>'5. INN'!S20</f>
        <v>1810924.29</v>
      </c>
      <c r="G40" s="21">
        <f>'6. WET'!S20</f>
        <v>0</v>
      </c>
      <c r="H40" s="21">
        <f>'7. CFTN'!S21</f>
        <v>0</v>
      </c>
      <c r="I40" s="21">
        <f>'8. TTACB, WET RP, HP'!R14</f>
        <v>0</v>
      </c>
      <c r="J40" s="21">
        <f>'8. TTACB, WET RP, HP'!R15</f>
        <v>0</v>
      </c>
      <c r="K40" s="21">
        <f>'4. PEI'!S17</f>
        <v>0</v>
      </c>
      <c r="L40" s="20"/>
      <c r="M40" s="20"/>
      <c r="N40" s="21">
        <f t="shared" si="3"/>
        <v>1810924.29</v>
      </c>
    </row>
    <row r="41" spans="1:14" ht="24" customHeight="1" x14ac:dyDescent="0.2">
      <c r="A41" s="98"/>
      <c r="B41" s="100">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8"/>
      <c r="B42" s="100">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8"/>
      <c r="B43" s="100">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8"/>
      <c r="B44" s="100">
        <v>10</v>
      </c>
      <c r="C44" s="19" t="s">
        <v>52</v>
      </c>
      <c r="D44" s="21">
        <f>'3. CSS'!O24-SUM('3. CSS'!O20:O22)</f>
        <v>10325835.649999999</v>
      </c>
      <c r="E44" s="21">
        <f>'4. PEI'!O21</f>
        <v>7589987.8899999997</v>
      </c>
      <c r="F44" s="21">
        <f>'5. INN'!O20</f>
        <v>0</v>
      </c>
      <c r="G44" s="21">
        <f>'6. WET'!O20</f>
        <v>0</v>
      </c>
      <c r="H44" s="21">
        <f>'7. CFTN'!O21</f>
        <v>0</v>
      </c>
      <c r="I44" s="20"/>
      <c r="J44" s="21">
        <f>'8. TTACB, WET RP, HP'!N15</f>
        <v>0</v>
      </c>
      <c r="K44" s="20"/>
      <c r="L44" s="21">
        <f>'8. TTACB, WET RP, HP'!N16</f>
        <v>0</v>
      </c>
      <c r="M44" s="20"/>
      <c r="N44" s="21">
        <f t="shared" si="3"/>
        <v>17915823.539999999</v>
      </c>
    </row>
    <row r="45" spans="1:14" ht="24" customHeight="1" x14ac:dyDescent="0.2">
      <c r="A45" s="98"/>
      <c r="B45" s="100">
        <v>11</v>
      </c>
      <c r="C45" s="19" t="s">
        <v>53</v>
      </c>
      <c r="D45" s="21">
        <f>'3. CSS'!N24-SUM('3. CSS'!N20:N22)</f>
        <v>14700462.199999999</v>
      </c>
      <c r="E45" s="21">
        <f>'4. PEI'!N21</f>
        <v>0</v>
      </c>
      <c r="F45" s="21">
        <f>'5. INN'!N20</f>
        <v>0</v>
      </c>
      <c r="G45" s="21">
        <f>'6. WET'!N20</f>
        <v>0</v>
      </c>
      <c r="H45" s="21">
        <f>'7. CFTN'!N21</f>
        <v>0</v>
      </c>
      <c r="I45" s="20"/>
      <c r="J45" s="21">
        <f>'8. TTACB, WET RP, HP'!M15</f>
        <v>0</v>
      </c>
      <c r="K45" s="20"/>
      <c r="L45" s="21">
        <f>'8. TTACB, WET RP, HP'!M16</f>
        <v>0</v>
      </c>
      <c r="M45" s="20"/>
      <c r="N45" s="21">
        <f t="shared" si="3"/>
        <v>14700462.199999999</v>
      </c>
    </row>
    <row r="46" spans="1:14" ht="24" customHeight="1" x14ac:dyDescent="0.2">
      <c r="A46" s="98"/>
      <c r="B46" s="101">
        <v>12</v>
      </c>
      <c r="C46" s="22" t="s">
        <v>66</v>
      </c>
      <c r="D46" s="23">
        <f>'3. CSS'!M24-SUM('3. CSS'!M20:M22)</f>
        <v>0</v>
      </c>
      <c r="E46" s="23">
        <f>'4. PEI'!M21</f>
        <v>0</v>
      </c>
      <c r="F46" s="23">
        <f>'5. INN'!M20</f>
        <v>0</v>
      </c>
      <c r="G46" s="23">
        <f>'6. WET'!M20</f>
        <v>0</v>
      </c>
      <c r="H46" s="23">
        <f>'7. CFTN'!M21</f>
        <v>0</v>
      </c>
      <c r="I46" s="30"/>
      <c r="J46" s="23">
        <f>'8. TTACB, WET RP, HP'!L15</f>
        <v>0</v>
      </c>
      <c r="K46" s="30"/>
      <c r="L46" s="23">
        <f>'8. TTACB, WET RP, HP'!L16</f>
        <v>0</v>
      </c>
      <c r="M46" s="30"/>
      <c r="N46" s="23">
        <f>SUM(D46:M46)</f>
        <v>0</v>
      </c>
    </row>
    <row r="47" spans="1:14" ht="24" customHeight="1" x14ac:dyDescent="0.2">
      <c r="A47" s="98"/>
      <c r="B47" s="100">
        <v>13</v>
      </c>
      <c r="C47" s="19" t="s">
        <v>277</v>
      </c>
      <c r="D47" s="21">
        <f>'3. CSS'!L24</f>
        <v>583766.72</v>
      </c>
      <c r="E47" s="21">
        <f>'4. PEI'!L21</f>
        <v>0</v>
      </c>
      <c r="F47" s="21">
        <f>'5. INN'!L20</f>
        <v>56020.47</v>
      </c>
      <c r="G47" s="21">
        <f>'6. WET'!L20</f>
        <v>46868.71</v>
      </c>
      <c r="H47" s="21">
        <f>'7. CFTN'!L21</f>
        <v>100174.58</v>
      </c>
      <c r="I47" s="21">
        <f>'8. TTACB, WET RP, HP'!K14</f>
        <v>0</v>
      </c>
      <c r="J47" s="21">
        <f>'8. TTACB, WET RP, HP'!K15</f>
        <v>0</v>
      </c>
      <c r="K47" s="21">
        <f>'4. PEI'!L17</f>
        <v>0</v>
      </c>
      <c r="L47" s="21">
        <f>'8. TTACB, WET RP, HP'!K16</f>
        <v>0</v>
      </c>
      <c r="M47" s="20"/>
      <c r="N47" s="21">
        <f>SUM(D47:M47)</f>
        <v>786830.47999999986</v>
      </c>
    </row>
    <row r="48" spans="1:14" ht="24" customHeight="1" x14ac:dyDescent="0.25">
      <c r="A48" s="98"/>
      <c r="B48" s="102">
        <v>14</v>
      </c>
      <c r="C48" s="24" t="s">
        <v>301</v>
      </c>
      <c r="D48" s="10">
        <f>SUM(D36:D47)</f>
        <v>25610064.569999997</v>
      </c>
      <c r="E48" s="10">
        <f t="shared" ref="E48:L48" si="4">SUM(E36:E47)</f>
        <v>7589987.8899999997</v>
      </c>
      <c r="F48" s="10">
        <f t="shared" si="4"/>
        <v>1866944.76</v>
      </c>
      <c r="G48" s="10">
        <f t="shared" si="4"/>
        <v>291472.07</v>
      </c>
      <c r="H48" s="10">
        <f t="shared" si="4"/>
        <v>4449418.84</v>
      </c>
      <c r="I48" s="10">
        <f t="shared" si="4"/>
        <v>0</v>
      </c>
      <c r="J48" s="10">
        <f t="shared" si="4"/>
        <v>0</v>
      </c>
      <c r="K48" s="10">
        <f t="shared" si="4"/>
        <v>0</v>
      </c>
      <c r="L48" s="10">
        <f t="shared" si="4"/>
        <v>0</v>
      </c>
      <c r="M48" s="32"/>
      <c r="N48" s="10">
        <f>SUM(D48:M48)</f>
        <v>39807888.129999995</v>
      </c>
    </row>
    <row r="49" spans="1:14" ht="24" customHeight="1" x14ac:dyDescent="0.25">
      <c r="A49" s="98"/>
      <c r="B49" s="104">
        <v>15</v>
      </c>
      <c r="C49" s="34" t="s">
        <v>62</v>
      </c>
      <c r="D49" s="33"/>
      <c r="E49" s="33"/>
      <c r="F49" s="33"/>
      <c r="G49" s="33"/>
      <c r="H49" s="33"/>
      <c r="I49" s="33"/>
      <c r="J49" s="33"/>
      <c r="K49" s="33"/>
      <c r="L49" s="33"/>
      <c r="M49" s="33"/>
      <c r="N49" s="33"/>
    </row>
    <row r="50" spans="1:14" ht="24" customHeight="1" x14ac:dyDescent="0.2">
      <c r="A50" s="98"/>
      <c r="B50" s="100">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8"/>
      <c r="B51" s="100">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8"/>
      <c r="B52" s="100">
        <v>18</v>
      </c>
      <c r="C52" s="19" t="s">
        <v>64</v>
      </c>
      <c r="D52" s="21">
        <f>'3. CSS'!G24</f>
        <v>15599370.810000002</v>
      </c>
      <c r="E52" s="21">
        <f>'4. PEI'!G21</f>
        <v>1937412.4700000002</v>
      </c>
      <c r="F52" s="21">
        <f>'5. INN'!G20</f>
        <v>0</v>
      </c>
      <c r="G52" s="21">
        <f>'6. WET'!G20</f>
        <v>0</v>
      </c>
      <c r="H52" s="21">
        <f>'7. CFTN'!G21</f>
        <v>0</v>
      </c>
      <c r="I52" s="21">
        <f>'8. TTACB, WET RP, HP'!F14</f>
        <v>0</v>
      </c>
      <c r="J52" s="21">
        <f>'8. TTACB, WET RP, HP'!F15</f>
        <v>0</v>
      </c>
      <c r="K52" s="21">
        <f>'4. PEI'!G17</f>
        <v>0</v>
      </c>
      <c r="L52" s="21">
        <f>'8. TTACB, WET RP, HP'!F16</f>
        <v>0</v>
      </c>
      <c r="M52" s="20"/>
      <c r="N52" s="21">
        <f t="shared" si="5"/>
        <v>17536783.280000001</v>
      </c>
    </row>
    <row r="53" spans="1:14" ht="24" customHeight="1" x14ac:dyDescent="0.2">
      <c r="A53" s="98"/>
      <c r="B53" s="101">
        <v>19</v>
      </c>
      <c r="C53" s="22" t="s">
        <v>33</v>
      </c>
      <c r="D53" s="23">
        <f>'3. CSS'!J24</f>
        <v>417260.10000000003</v>
      </c>
      <c r="E53" s="23">
        <f>'4. PEI'!J21</f>
        <v>130819.53000000001</v>
      </c>
      <c r="F53" s="23">
        <f>'5. INN'!J20</f>
        <v>0</v>
      </c>
      <c r="G53" s="23">
        <f>'6. WET'!J20</f>
        <v>0</v>
      </c>
      <c r="H53" s="23">
        <f>'7. CFTN'!J21</f>
        <v>0</v>
      </c>
      <c r="I53" s="23">
        <f>'8. TTACB, WET RP, HP'!I14</f>
        <v>0</v>
      </c>
      <c r="J53" s="23">
        <f>'8. TTACB, WET RP, HP'!I15</f>
        <v>0</v>
      </c>
      <c r="K53" s="23">
        <f>'4. PEI'!J17</f>
        <v>0</v>
      </c>
      <c r="L53" s="23">
        <f>'8. TTACB, WET RP, HP'!I16</f>
        <v>0</v>
      </c>
      <c r="M53" s="30"/>
      <c r="N53" s="23">
        <f t="shared" si="5"/>
        <v>548079.63</v>
      </c>
    </row>
    <row r="54" spans="1:14" ht="24" customHeight="1" x14ac:dyDescent="0.25">
      <c r="A54" s="98"/>
      <c r="B54" s="102">
        <v>20</v>
      </c>
      <c r="C54" s="24" t="s">
        <v>300</v>
      </c>
      <c r="D54" s="10">
        <f>SUM(D50:D53)</f>
        <v>16016630.910000002</v>
      </c>
      <c r="E54" s="10">
        <f t="shared" ref="E54:L54" si="6">SUM(E50:E53)</f>
        <v>2068232.0000000002</v>
      </c>
      <c r="F54" s="10">
        <f t="shared" si="6"/>
        <v>0</v>
      </c>
      <c r="G54" s="10">
        <f t="shared" si="6"/>
        <v>0</v>
      </c>
      <c r="H54" s="10">
        <f t="shared" si="6"/>
        <v>0</v>
      </c>
      <c r="I54" s="10">
        <f t="shared" si="6"/>
        <v>0</v>
      </c>
      <c r="J54" s="10">
        <f t="shared" si="6"/>
        <v>0</v>
      </c>
      <c r="K54" s="10">
        <f t="shared" si="6"/>
        <v>0</v>
      </c>
      <c r="L54" s="10">
        <f t="shared" si="6"/>
        <v>0</v>
      </c>
      <c r="M54" s="32"/>
      <c r="N54" s="10">
        <f t="shared" si="5"/>
        <v>18084862.910000004</v>
      </c>
    </row>
    <row r="55" spans="1:14" ht="24" customHeight="1" x14ac:dyDescent="0.25">
      <c r="A55" s="98"/>
      <c r="B55" s="99">
        <v>21</v>
      </c>
      <c r="C55" s="31" t="s">
        <v>302</v>
      </c>
      <c r="D55" s="10">
        <f>D48+D54</f>
        <v>41626695.479999997</v>
      </c>
      <c r="E55" s="10">
        <f t="shared" ref="E55:L55" si="7">E48+E54</f>
        <v>9658219.8900000006</v>
      </c>
      <c r="F55" s="10">
        <f t="shared" si="7"/>
        <v>1866944.76</v>
      </c>
      <c r="G55" s="10">
        <f t="shared" si="7"/>
        <v>291472.07</v>
      </c>
      <c r="H55" s="10">
        <f t="shared" si="7"/>
        <v>4449418.84</v>
      </c>
      <c r="I55" s="10">
        <f t="shared" si="7"/>
        <v>0</v>
      </c>
      <c r="J55" s="10">
        <f t="shared" si="7"/>
        <v>0</v>
      </c>
      <c r="K55" s="10">
        <f t="shared" si="7"/>
        <v>0</v>
      </c>
      <c r="L55" s="10">
        <f t="shared" si="7"/>
        <v>0</v>
      </c>
      <c r="M55" s="32"/>
      <c r="N55" s="10">
        <f t="shared" si="5"/>
        <v>57892751.039999992</v>
      </c>
    </row>
    <row r="56" spans="1:14" ht="24" customHeight="1" x14ac:dyDescent="0.25">
      <c r="A56" s="98"/>
      <c r="B56" s="450" t="s">
        <v>381</v>
      </c>
      <c r="C56" s="451"/>
      <c r="D56" s="428"/>
      <c r="E56" s="25"/>
      <c r="F56" s="25"/>
      <c r="G56" s="25"/>
      <c r="H56" s="25"/>
      <c r="I56" s="25"/>
      <c r="J56" s="25"/>
      <c r="K56" s="25"/>
      <c r="L56" s="25"/>
      <c r="M56" s="25"/>
      <c r="N56" s="25"/>
    </row>
    <row r="57" spans="1:14" ht="24" customHeight="1" x14ac:dyDescent="0.2">
      <c r="A57" s="98"/>
      <c r="B57" s="100">
        <v>1</v>
      </c>
      <c r="C57" s="19" t="s">
        <v>52</v>
      </c>
      <c r="D57" s="21">
        <f>(G57+H57+M57)*-1</f>
        <v>-15895350</v>
      </c>
      <c r="E57" s="20"/>
      <c r="F57" s="20"/>
      <c r="G57" s="21">
        <f>'3. CSS'!O20</f>
        <v>0</v>
      </c>
      <c r="H57" s="21">
        <f>'3. CSS'!O21</f>
        <v>9738105</v>
      </c>
      <c r="I57" s="20"/>
      <c r="J57" s="20"/>
      <c r="K57" s="20"/>
      <c r="L57" s="20"/>
      <c r="M57" s="21">
        <f>'3. CSS'!O22</f>
        <v>6157245</v>
      </c>
      <c r="N57" s="21">
        <f>SUM(D57:M57)</f>
        <v>0</v>
      </c>
    </row>
    <row r="58" spans="1:14" ht="24" customHeight="1" x14ac:dyDescent="0.2">
      <c r="A58" s="98"/>
      <c r="B58" s="100">
        <v>2</v>
      </c>
      <c r="C58" s="19" t="s">
        <v>53</v>
      </c>
      <c r="D58" s="21">
        <f>(G58+H58+M58)*-1</f>
        <v>0</v>
      </c>
      <c r="E58" s="20"/>
      <c r="F58" s="394"/>
      <c r="G58" s="21">
        <f>'3. CSS'!N20</f>
        <v>0</v>
      </c>
      <c r="H58" s="21">
        <f>'3. CSS'!N21</f>
        <v>0</v>
      </c>
      <c r="I58" s="20"/>
      <c r="J58" s="20"/>
      <c r="K58" s="20"/>
      <c r="L58" s="20"/>
      <c r="M58" s="21">
        <f>'3. CSS'!N22</f>
        <v>0</v>
      </c>
      <c r="N58" s="21">
        <f>SUM(D58:M58)</f>
        <v>0</v>
      </c>
    </row>
    <row r="59" spans="1:14" ht="24" customHeight="1" x14ac:dyDescent="0.2">
      <c r="A59" s="98"/>
      <c r="B59" s="100">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5">
      <c r="A60" s="98"/>
      <c r="B60" s="100">
        <v>4</v>
      </c>
      <c r="C60" s="35" t="s">
        <v>55</v>
      </c>
      <c r="D60" s="21">
        <f>SUM(D57:D59)</f>
        <v>-15895350</v>
      </c>
      <c r="E60" s="20"/>
      <c r="F60" s="20"/>
      <c r="G60" s="21">
        <f>SUM(G57:G59)</f>
        <v>0</v>
      </c>
      <c r="H60" s="21">
        <f>SUM(H57:H59)</f>
        <v>9738105</v>
      </c>
      <c r="I60" s="20"/>
      <c r="J60" s="20"/>
      <c r="K60" s="20"/>
      <c r="L60" s="20"/>
      <c r="M60" s="21">
        <f>SUM(M57:M59)</f>
        <v>6157245</v>
      </c>
      <c r="N60" s="21">
        <f>SUM(D60:M60)</f>
        <v>0</v>
      </c>
    </row>
    <row r="61" spans="1:14" ht="24" customHeight="1" x14ac:dyDescent="0.25">
      <c r="A61" s="98"/>
      <c r="B61" s="450" t="s">
        <v>382</v>
      </c>
      <c r="C61" s="451"/>
      <c r="D61" s="36"/>
      <c r="E61" s="36"/>
      <c r="F61" s="36"/>
      <c r="G61" s="36"/>
      <c r="H61" s="36"/>
      <c r="I61" s="36"/>
      <c r="J61" s="36"/>
      <c r="K61" s="36"/>
      <c r="L61" s="36"/>
      <c r="M61" s="36"/>
      <c r="N61" s="36"/>
    </row>
    <row r="62" spans="1:14" ht="24" customHeight="1" x14ac:dyDescent="0.2">
      <c r="A62" s="98"/>
      <c r="B62" s="100">
        <v>1</v>
      </c>
      <c r="C62" s="19" t="s">
        <v>43</v>
      </c>
      <c r="D62" s="20"/>
      <c r="E62" s="20"/>
      <c r="F62" s="20"/>
      <c r="G62" s="20"/>
      <c r="H62" s="20"/>
      <c r="I62" s="20"/>
      <c r="J62" s="20"/>
      <c r="K62" s="20"/>
      <c r="L62" s="20"/>
      <c r="M62" s="21">
        <f>SUM('9. Adjustment (MHSA)'!E36:E38)</f>
        <v>0</v>
      </c>
      <c r="N62" s="21">
        <f>SUM(D62:M62)</f>
        <v>0</v>
      </c>
    </row>
    <row r="63" spans="1:14" ht="24" customHeight="1" x14ac:dyDescent="0.2">
      <c r="A63" s="98"/>
      <c r="B63" s="100">
        <v>2</v>
      </c>
      <c r="C63" s="19" t="s">
        <v>44</v>
      </c>
      <c r="D63" s="21">
        <f>SUMIFS('9. Adjustment (MHSA)'!$F$13:$F$22,'9. Adjustment (MHSA)'!$D$13:$D$22,"CSS",'9. Adjustment (MHSA)'!$E$13:$E$22,"FY 2006-07")</f>
        <v>0</v>
      </c>
      <c r="E63" s="20"/>
      <c r="F63" s="20"/>
      <c r="G63" s="21">
        <f>SUMIFS('9. Adjustment (MHSA)'!$F$13:$F$22,'9. Adjustment (MHSA)'!$D$13:$D$22,"WET",'9. Adjustment (MHSA)'!$E$13:$E$22,"FY 2006-07")</f>
        <v>0</v>
      </c>
      <c r="H63" s="20"/>
      <c r="I63" s="20"/>
      <c r="J63" s="20"/>
      <c r="K63" s="20"/>
      <c r="L63" s="20"/>
      <c r="M63" s="20"/>
      <c r="N63" s="21">
        <f>SUM(D63:M63)</f>
        <v>0</v>
      </c>
    </row>
    <row r="64" spans="1:14" ht="24" customHeight="1" x14ac:dyDescent="0.2">
      <c r="A64" s="98"/>
      <c r="B64" s="100">
        <v>3</v>
      </c>
      <c r="C64" s="19" t="s">
        <v>45</v>
      </c>
      <c r="D64" s="21">
        <f>SUMIFS('9. Adjustment (MHSA)'!$F$13:$F$22,'9. Adjustment (MHSA)'!$D$13:$D$22,"CSS",'9. Adjustment (MHSA)'!$E$13:$E$22,"FY 2007-08")</f>
        <v>0</v>
      </c>
      <c r="E64" s="20"/>
      <c r="F64" s="20"/>
      <c r="G64" s="21">
        <f>SUMIFS('9. Adjustment (MHSA)'!$F$13:$F$22,'9. Adjustment (MHSA)'!$D$13:$D$22,"WET",'9. Adjustment (MHSA)'!$E$13:$E$22,"FY 2007-08")</f>
        <v>0</v>
      </c>
      <c r="H64" s="21">
        <f>SUMIFS('9. Adjustment (MHSA)'!$F$13:$F$22,'9. Adjustment (MHSA)'!$D$13:$D$22,"CFTN",'9. Adjustment (MHSA)'!$E$13:$E$22,"FY 2007-08")</f>
        <v>0</v>
      </c>
      <c r="I64" s="20"/>
      <c r="J64" s="20"/>
      <c r="K64" s="20"/>
      <c r="L64" s="20"/>
      <c r="M64" s="20"/>
      <c r="N64" s="21">
        <f t="shared" ref="N64:N75" si="8">SUM(D64:M64)</f>
        <v>0</v>
      </c>
    </row>
    <row r="65" spans="1:14" ht="24" customHeight="1" x14ac:dyDescent="0.2">
      <c r="A65" s="98"/>
      <c r="B65" s="100">
        <v>4</v>
      </c>
      <c r="C65" s="19" t="s">
        <v>46</v>
      </c>
      <c r="D65" s="21">
        <f>SUMIFS('9. Adjustment (MHSA)'!$F$13:$F$22,'9. Adjustment (MHSA)'!$D$13:$D$22,"CSS",'9. Adjustment (MHSA)'!$E$13:$E$22,"FY 2008-09")</f>
        <v>0</v>
      </c>
      <c r="E65" s="21">
        <f>SUMIFS('9. Adjustment (MHSA)'!$F$13:$F$22,'9. Adjustment (MHSA)'!$D$13:$D$22,"PEI",'9. Adjustment (MHSA)'!$E$13:$E$22,"FY 2008-09")</f>
        <v>0</v>
      </c>
      <c r="F65" s="21">
        <f>SUMIFS('9. Adjustment (MHSA)'!$F$13:$F$22,'9. Adjustment (MHSA)'!$D$13:$D$22,"INN",'9. Adjustment (MHSA)'!$E$13:$E$22,"FY 2008-09")</f>
        <v>0</v>
      </c>
      <c r="G65" s="21">
        <f>SUMIFS('9. Adjustment (MHSA)'!$F$13:$F$22,'9. Adjustment (MHSA)'!$D$13:$D$22,"WET",'9. Adjustment (MHSA)'!$E$13:$E$22,"FY 2008-09")</f>
        <v>0</v>
      </c>
      <c r="H65" s="21">
        <f>SUMIFS('9. Adjustment (MHSA)'!$F$13:$F$22,'9. Adjustment (MHSA)'!$D$13:$D$22,"CFTN",'9. Adjustment (MHSA)'!$E$13:$E$22,"FY 2008-09")</f>
        <v>0</v>
      </c>
      <c r="I65" s="21">
        <f>SUMIFS('9. Adjustment (MHSA)'!$F$13:$F$22,'9. Adjustment (MHSA)'!$D$13:$D$22,"TTACB",'9. Adjustment (MHSA)'!$E$13:$E$22,"FY 2008-09")</f>
        <v>0</v>
      </c>
      <c r="J65" s="21">
        <f>SUMIFS('9. Adjustment (MHSA)'!$F$13:$F$22,'9. Adjustment (MHSA)'!$D$13:$D$22,"WET RP",'9. Adjustment (MHSA)'!$E$13:$E$22,"FY 2008-09")</f>
        <v>0</v>
      </c>
      <c r="K65" s="21">
        <f>SUMIFS('9. Adjustment (MHSA)'!$F$13:$F$22,'9. Adjustment (MHSA)'!$D$13:$D$22,"PEI SW",'9. Adjustment (MHSA)'!$E$13:$E$22,"FY 2008-09")</f>
        <v>0</v>
      </c>
      <c r="L65" s="20"/>
      <c r="M65" s="20"/>
      <c r="N65" s="21">
        <f t="shared" si="8"/>
        <v>0</v>
      </c>
    </row>
    <row r="66" spans="1:14" ht="24" customHeight="1" x14ac:dyDescent="0.2">
      <c r="A66" s="98"/>
      <c r="B66" s="100">
        <v>5</v>
      </c>
      <c r="C66" s="19" t="s">
        <v>47</v>
      </c>
      <c r="D66" s="21">
        <f>SUMIFS('9. Adjustment (MHSA)'!$F$13:$F$22,'9. Adjustment (MHSA)'!$D$13:$D$22,"CSS",'9. Adjustment (MHSA)'!$E$13:$E$22,"FY 2009-10")</f>
        <v>0</v>
      </c>
      <c r="E66" s="21">
        <f>SUMIFS('9. Adjustment (MHSA)'!$F$13:$F$22,'9. Adjustment (MHSA)'!$D$13:$D$22,"PEI",'9. Adjustment (MHSA)'!$E$13:$E$22,"FY 2009-10")</f>
        <v>0</v>
      </c>
      <c r="F66" s="21">
        <f>SUMIFS('9. Adjustment (MHSA)'!$F$13:$F$22,'9. Adjustment (MHSA)'!$D$13:$D$22,"INN",'9. Adjustment (MHSA)'!$E$13:$E$22,"FY 2009-10")</f>
        <v>0</v>
      </c>
      <c r="G66" s="21">
        <f>SUMIFS('9. Adjustment (MHSA)'!$F$13:$F$22,'9. Adjustment (MHSA)'!$D$13:$D$22,"WET",'9. Adjustment (MHSA)'!$E$13:$E$22,"FY 2009-10")</f>
        <v>0</v>
      </c>
      <c r="H66" s="21">
        <f>SUMIFS('9. Adjustment (MHSA)'!$F$13:$F$22,'9. Adjustment (MHSA)'!$D$13:$D$22,"CFTN",'9. Adjustment (MHSA)'!$E$13:$E$22,"FY 2009-10")</f>
        <v>0</v>
      </c>
      <c r="I66" s="21">
        <f>SUMIFS('9. Adjustment (MHSA)'!$F$13:$F$22,'9. Adjustment (MHSA)'!$D$13:$D$22,"TTACB",'9. Adjustment (MHSA)'!$E$13:$E$22,"FY 2009-10")</f>
        <v>0</v>
      </c>
      <c r="J66" s="21">
        <f>SUMIFS('9. Adjustment (MHSA)'!$F$13:$F$22,'9. Adjustment (MHSA)'!$D$13:$D$22,"WET RP",'9. Adjustment (MHSA)'!$E$13:$E$22,"FY 2009-10")</f>
        <v>0</v>
      </c>
      <c r="K66" s="21">
        <f>SUMIFS('9. Adjustment (MHSA)'!$F$13:$F$22,'9. Adjustment (MHSA)'!$D$13:$D$22,"PEI SW",'9. Adjustment (MHSA)'!$E$13:$E$22,"FY 2009-10")</f>
        <v>0</v>
      </c>
      <c r="L66" s="20"/>
      <c r="M66" s="20"/>
      <c r="N66" s="21">
        <f t="shared" si="8"/>
        <v>0</v>
      </c>
    </row>
    <row r="67" spans="1:14" ht="24" customHeight="1" x14ac:dyDescent="0.2">
      <c r="A67" s="98"/>
      <c r="B67" s="100">
        <v>6</v>
      </c>
      <c r="C67" s="19" t="s">
        <v>48</v>
      </c>
      <c r="D67" s="21">
        <f>SUMIFS('9. Adjustment (MHSA)'!$F$13:$F$22,'9. Adjustment (MHSA)'!$D$13:$D$22,"CSS",'9. Adjustment (MHSA)'!$E$13:$E$22,"FY 2010-11")</f>
        <v>0</v>
      </c>
      <c r="E67" s="21">
        <f>SUMIFS('9. Adjustment (MHSA)'!$F$13:$F$22,'9. Adjustment (MHSA)'!$D$13:$D$22,"PEI",'9. Adjustment (MHSA)'!$E$13:$E$22,"FY 2010-11")</f>
        <v>0</v>
      </c>
      <c r="F67" s="21">
        <f>SUMIFS('9. Adjustment (MHSA)'!$F$13:$F$22,'9. Adjustment (MHSA)'!$D$13:$D$22,"INN",'9. Adjustment (MHSA)'!$E$13:$E$22,"FY 2010-11")</f>
        <v>0</v>
      </c>
      <c r="G67" s="21">
        <f>SUMIFS('9. Adjustment (MHSA)'!$F$13:$F$22,'9. Adjustment (MHSA)'!$D$13:$D$22,"WET",'9. Adjustment (MHSA)'!$E$13:$E$22,"FY 2010-11")</f>
        <v>0</v>
      </c>
      <c r="H67" s="21">
        <f>SUMIFS('9. Adjustment (MHSA)'!$F$13:$F$22,'9. Adjustment (MHSA)'!$D$13:$D$22,"CFTN",'9. Adjustment (MHSA)'!$E$13:$E$22,"FY 2010-11")</f>
        <v>0</v>
      </c>
      <c r="I67" s="21">
        <f>SUMIFS('9. Adjustment (MHSA)'!$F$13:$F$22,'9. Adjustment (MHSA)'!$D$13:$D$22,"TTACB",'9. Adjustment (MHSA)'!$E$13:$E$22,"FY 2010-11")</f>
        <v>0</v>
      </c>
      <c r="J67" s="21">
        <f>SUMIFS('9. Adjustment (MHSA)'!$F$13:$F$22,'9. Adjustment (MHSA)'!$D$13:$D$22,"WET RP",'9. Adjustment (MHSA)'!$E$13:$E$22,"FY 2010-11")</f>
        <v>0</v>
      </c>
      <c r="K67" s="21">
        <f>SUMIFS('9. Adjustment (MHSA)'!$F$13:$F$22,'9. Adjustment (MHSA)'!$D$13:$D$22,"PEI SW",'9. Adjustment (MHSA)'!$E$13:$E$22,"FY 2010-11")</f>
        <v>0</v>
      </c>
      <c r="L67" s="20"/>
      <c r="M67" s="20"/>
      <c r="N67" s="21">
        <f t="shared" si="8"/>
        <v>0</v>
      </c>
    </row>
    <row r="68" spans="1:14" ht="24" customHeight="1" x14ac:dyDescent="0.2">
      <c r="A68" s="98"/>
      <c r="B68" s="100">
        <v>7</v>
      </c>
      <c r="C68" s="19" t="s">
        <v>49</v>
      </c>
      <c r="D68" s="21">
        <f>SUMIFS('9. Adjustment (MHSA)'!$F$13:$F$22,'9. Adjustment (MHSA)'!$D$13:$D$22,"CSS",'9. Adjustment (MHSA)'!$E$13:$E$22,"FY 2011-12")</f>
        <v>0</v>
      </c>
      <c r="E68" s="21">
        <f>SUMIFS('9. Adjustment (MHSA)'!$F$13:$F$22,'9. Adjustment (MHSA)'!$D$13:$D$22,"PEI",'9. Adjustment (MHSA)'!$E$13:$E$22,"FY 2011-12")</f>
        <v>0</v>
      </c>
      <c r="F68" s="21">
        <f>SUMIFS('9. Adjustment (MHSA)'!$F$13:$F$22,'9. Adjustment (MHSA)'!$D$13:$D$22,"INN",'9. Adjustment (MHSA)'!$E$13:$E$22,"FY 2011-12")</f>
        <v>0</v>
      </c>
      <c r="G68" s="21">
        <f>SUMIFS('9. Adjustment (MHSA)'!$F$13:$F$22,'9. Adjustment (MHSA)'!$D$13:$D$22,"WET",'9. Adjustment (MHSA)'!$E$13:$E$22,"FY 2011-12")</f>
        <v>0</v>
      </c>
      <c r="H68" s="21">
        <f>SUMIFS('9. Adjustment (MHSA)'!$F$13:$F$22,'9. Adjustment (MHSA)'!$D$13:$D$22,"CFTN",'9. Adjustment (MHSA)'!$E$13:$E$22,"FY 2011-12")</f>
        <v>0</v>
      </c>
      <c r="I68" s="21">
        <f>SUMIFS('9. Adjustment (MHSA)'!$F$13:$F$22,'9. Adjustment (MHSA)'!$D$13:$D$22,"TTACB",'9. Adjustment (MHSA)'!$E$13:$E$22,"FY 2011-12")</f>
        <v>0</v>
      </c>
      <c r="J68" s="21">
        <f>SUMIFS('9. Adjustment (MHSA)'!$F$13:$F$22,'9. Adjustment (MHSA)'!$D$13:$D$22,"WET RP",'9. Adjustment (MHSA)'!$E$13:$E$22,"FY 2011-12")</f>
        <v>0</v>
      </c>
      <c r="K68" s="21">
        <f>SUMIFS('9. Adjustment (MHSA)'!$F$13:$F$22,'9. Adjustment (MHSA)'!$D$13:$D$22,"PEI SW",'9. Adjustment (MHSA)'!$E$13:$E$22,"FY 2011-12")</f>
        <v>0</v>
      </c>
      <c r="L68" s="20"/>
      <c r="M68" s="20"/>
      <c r="N68" s="21">
        <f t="shared" si="8"/>
        <v>0</v>
      </c>
    </row>
    <row r="69" spans="1:14" ht="24" customHeight="1" x14ac:dyDescent="0.2">
      <c r="A69" s="98"/>
      <c r="B69" s="100">
        <v>8</v>
      </c>
      <c r="C69" s="19" t="s">
        <v>50</v>
      </c>
      <c r="D69" s="21">
        <f>SUMIFS('9. Adjustment (MHSA)'!$F$13:$F$22,'9. Adjustment (MHSA)'!$D$13:$D$22,"CSS",'9. Adjustment (MHSA)'!$E$13:$E$22,"FY 2012-13")</f>
        <v>0</v>
      </c>
      <c r="E69" s="21">
        <f>SUMIFS('9. Adjustment (MHSA)'!$F$13:$F$22,'9. Adjustment (MHSA)'!$D$13:$D$22,"PEI",'9. Adjustment (MHSA)'!$E$13:$E$22,"FY 2012-13")</f>
        <v>0</v>
      </c>
      <c r="F69" s="21">
        <f>SUMIFS('9. Adjustment (MHSA)'!$F$13:$F$22,'9. Adjustment (MHSA)'!$D$13:$D$22,"INN",'9. Adjustment (MHSA)'!$E$13:$E$22,"FY 2012-13")</f>
        <v>0</v>
      </c>
      <c r="G69" s="21">
        <f>SUMIFS('9. Adjustment (MHSA)'!$F$13:$F$22,'9. Adjustment (MHSA)'!$D$13:$D$22,"WET",'9. Adjustment (MHSA)'!$E$13:$E$22,"FY 2012-13")</f>
        <v>0</v>
      </c>
      <c r="H69" s="21">
        <f>SUMIFS('9. Adjustment (MHSA)'!$F$13:$F$22,'9. Adjustment (MHSA)'!$D$13:$D$22,"CFTN",'9. Adjustment (MHSA)'!$E$13:$E$22,"FY 2012-13")</f>
        <v>0</v>
      </c>
      <c r="I69" s="21">
        <f>SUMIFS('9. Adjustment (MHSA)'!$F$13:$F$22,'9. Adjustment (MHSA)'!$D$13:$D$22,"TTACB",'9. Adjustment (MHSA)'!$E$13:$E$22,"FY 2012-13")</f>
        <v>0</v>
      </c>
      <c r="J69" s="21">
        <f>SUMIFS('9. Adjustment (MHSA)'!$F$13:$F$22,'9. Adjustment (MHSA)'!$D$13:$D$22,"WET RP",'9. Adjustment (MHSA)'!$E$13:$E$22,"FY 2012-13")</f>
        <v>0</v>
      </c>
      <c r="K69" s="20"/>
      <c r="L69" s="20"/>
      <c r="M69" s="20"/>
      <c r="N69" s="21">
        <f t="shared" si="8"/>
        <v>0</v>
      </c>
    </row>
    <row r="70" spans="1:14" ht="24" customHeight="1" x14ac:dyDescent="0.2">
      <c r="A70" s="98"/>
      <c r="B70" s="100">
        <v>9</v>
      </c>
      <c r="C70" s="19" t="s">
        <v>51</v>
      </c>
      <c r="D70" s="21">
        <f>SUMIFS('9. Adjustment (MHSA)'!$F$13:$F$22,'9. Adjustment (MHSA)'!$D$13:$D$22,"CSS",'9. Adjustment (MHSA)'!$E$13:$E$22,"FY 2013-14")</f>
        <v>0</v>
      </c>
      <c r="E70" s="21">
        <f>SUMIFS('9. Adjustment (MHSA)'!$F$13:$F$22,'9. Adjustment (MHSA)'!$D$13:$D$22,"PEI",'9. Adjustment (MHSA)'!$E$13:$E$22,"FY 2013-14")</f>
        <v>0</v>
      </c>
      <c r="F70" s="21">
        <f>SUMIFS('9. Adjustment (MHSA)'!$F$13:$F$22,'9. Adjustment (MHSA)'!$D$13:$D$22,"INN",'9. Adjustment (MHSA)'!$E$13:$E$22,"FY 2013-14")</f>
        <v>0</v>
      </c>
      <c r="G70" s="21">
        <f>SUMIFS('9. Adjustment (MHSA)'!$F$13:$F$22,'9. Adjustment (MHSA)'!$D$13:$D$22,"WET",'9. Adjustment (MHSA)'!$E$13:$E$22,"FY 2013-14")</f>
        <v>0</v>
      </c>
      <c r="H70" s="21">
        <f>SUMIFS('9. Adjustment (MHSA)'!$F$13:$F$22,'9. Adjustment (MHSA)'!$D$13:$D$22,"CFTN",'9. Adjustment (MHSA)'!$E$13:$E$22,"FY 2013-14")</f>
        <v>0</v>
      </c>
      <c r="I70" s="21">
        <f>SUMIFS('9. Adjustment (MHSA)'!$F$13:$F$22,'9. Adjustment (MHSA)'!$D$13:$D$22,"TTACB",'9. Adjustment (MHSA)'!$E$13:$E$22,"FY 2013-14")</f>
        <v>0</v>
      </c>
      <c r="J70" s="21">
        <f>SUMIFS('9. Adjustment (MHSA)'!$F$13:$F$22,'9. Adjustment (MHSA)'!$D$13:$D$22,"WET RP",'9. Adjustment (MHSA)'!$E$13:$E$22,"FY 2013-14")</f>
        <v>0</v>
      </c>
      <c r="K70" s="20"/>
      <c r="L70" s="20"/>
      <c r="M70" s="20"/>
      <c r="N70" s="21">
        <f t="shared" si="8"/>
        <v>0</v>
      </c>
    </row>
    <row r="71" spans="1:14" ht="24" customHeight="1" x14ac:dyDescent="0.2">
      <c r="A71" s="98"/>
      <c r="B71" s="100">
        <v>10</v>
      </c>
      <c r="C71" s="19" t="s">
        <v>52</v>
      </c>
      <c r="D71" s="21">
        <f>SUMIFS('9. Adjustment (MHSA)'!$F$13:$F$22,'9. Adjustment (MHSA)'!$D$13:$D$22,"CSS",'9. Adjustment (MHSA)'!$E$13:$E$22,"FY 2014-15")</f>
        <v>0</v>
      </c>
      <c r="E71" s="21">
        <f>SUMIFS('9. Adjustment (MHSA)'!$F$13:$F$22,'9. Adjustment (MHSA)'!$D$13:$D$22,"PEI",'9. Adjustment (MHSA)'!$E$13:$E$22,"FY 2014-15")</f>
        <v>0</v>
      </c>
      <c r="F71" s="21">
        <f>SUMIFS('9. Adjustment (MHSA)'!$F$13:$F$22,'9. Adjustment (MHSA)'!$D$13:$D$22,"INN",'9. Adjustment (MHSA)'!$E$13:$E$22,"FY 2014-15")</f>
        <v>0</v>
      </c>
      <c r="G71" s="21">
        <f>SUMIFS('9. Adjustment (MHSA)'!$F$13:$F$22,'9. Adjustment (MHSA)'!$D$13:$D$22,"WET",'9. Adjustment (MHSA)'!$E$13:$E$22,"FY 2014-15")</f>
        <v>0</v>
      </c>
      <c r="H71" s="21">
        <f>SUMIFS('9. Adjustment (MHSA)'!$F$13:$F$22,'9. Adjustment (MHSA)'!$D$13:$D$22,"CFTN",'9. Adjustment (MHSA)'!$E$13:$E$22,"FY 2014-15")</f>
        <v>0</v>
      </c>
      <c r="I71" s="21">
        <f>SUMIFS('9. Adjustment (MHSA)'!$F$13:$F$22,'9. Adjustment (MHSA)'!$D$13:$D$22,"TTACB",'9. Adjustment (MHSA)'!$E$13:$E$22,"FY 2014-15")</f>
        <v>0</v>
      </c>
      <c r="J71" s="21">
        <f>SUMIFS('9. Adjustment (MHSA)'!$F$13:$F$22,'9. Adjustment (MHSA)'!$D$13:$D$22,"WET RP",'9. Adjustment (MHSA)'!$E$13:$E$22,"FY 2014-15")</f>
        <v>0</v>
      </c>
      <c r="K71" s="20"/>
      <c r="L71" s="21">
        <f>SUMIFS('9. Adjustment (MHSA)'!$F$13:$F$22,'9. Adjustment (MHSA)'!$D$13:$D$22,"MHSA HP",'9. Adjustment (MHSA)'!$E$13:$E$22,"FY 2014-15")</f>
        <v>0</v>
      </c>
      <c r="M71" s="20"/>
      <c r="N71" s="21">
        <f t="shared" si="8"/>
        <v>0</v>
      </c>
    </row>
    <row r="72" spans="1:14" ht="24" customHeight="1" x14ac:dyDescent="0.2">
      <c r="A72" s="98"/>
      <c r="B72" s="100">
        <v>11</v>
      </c>
      <c r="C72" s="19" t="s">
        <v>53</v>
      </c>
      <c r="D72" s="21">
        <f>SUMIFS('9. Adjustment (MHSA)'!$F$13:$F$22,'9. Adjustment (MHSA)'!$D$13:$D$22,"CSS",'9. Adjustment (MHSA)'!$E$13:$E$22,"FY 2015-16")</f>
        <v>-3594054.65</v>
      </c>
      <c r="E72" s="21">
        <f>SUMIFS('9. Adjustment (MHSA)'!$F$13:$F$22,'9. Adjustment (MHSA)'!$D$13:$D$22,"PEI",'9. Adjustment (MHSA)'!$E$13:$E$22,"FY 2015-16")</f>
        <v>-898513.66</v>
      </c>
      <c r="F72" s="21">
        <f>SUMIFS('9. Adjustment (MHSA)'!$F$13:$F$22,'9. Adjustment (MHSA)'!$D$13:$D$22,"INN",'9. Adjustment (MHSA)'!$E$13:$E$22,"FY 2015-16")</f>
        <v>-236450.96</v>
      </c>
      <c r="G72" s="21">
        <f>SUMIFS('9. Adjustment (MHSA)'!$F$13:$F$22,'9. Adjustment (MHSA)'!$D$13:$D$22,"WET",'9. Adjustment (MHSA)'!$E$13:$E$22,"FY 2015-16")</f>
        <v>0</v>
      </c>
      <c r="H72" s="21">
        <f>SUMIFS('9. Adjustment (MHSA)'!$F$13:$F$22,'9. Adjustment (MHSA)'!$D$13:$D$22,"CFTN",'9. Adjustment (MHSA)'!$E$13:$E$22,"FY 2015-16")</f>
        <v>0</v>
      </c>
      <c r="I72" s="21">
        <f>SUMIFS('9. Adjustment (MHSA)'!$F$13:$F$22,'9. Adjustment (MHSA)'!$D$13:$D$22,"TTACB",'9. Adjustment (MHSA)'!$E$13:$E$22,"FY 2015-16")</f>
        <v>0</v>
      </c>
      <c r="J72" s="21">
        <f>SUMIFS('9. Adjustment (MHSA)'!$F$13:$F$22,'9. Adjustment (MHSA)'!$D$13:$D$22,"WET RP",'9. Adjustment (MHSA)'!$E$13:$E$22,"FY 2015-16")</f>
        <v>0</v>
      </c>
      <c r="K72" s="20"/>
      <c r="L72" s="21">
        <f>SUMIFS('9. Adjustment (MHSA)'!$F$13:$F$22,'9. Adjustment (MHSA)'!$D$13:$D$22,"MHSA HP",'9. Adjustment (MHSA)'!$E$13:$E$22,"FY 2015-16")</f>
        <v>0</v>
      </c>
      <c r="M72" s="20"/>
      <c r="N72" s="21">
        <f t="shared" si="8"/>
        <v>-4729019.2699999996</v>
      </c>
    </row>
    <row r="73" spans="1:14" ht="24" customHeight="1" x14ac:dyDescent="0.2">
      <c r="A73" s="98"/>
      <c r="B73" s="100">
        <v>12</v>
      </c>
      <c r="C73" s="19" t="s">
        <v>66</v>
      </c>
      <c r="D73" s="21">
        <f>SUMIFS('9. Adjustment (MHSA)'!$F$13:$F$22,'9. Adjustment (MHSA)'!$D$13:$D$22,"CSS",'9. Adjustment (MHSA)'!$E$13:$E$22,"FY 2016-17")</f>
        <v>0</v>
      </c>
      <c r="E73" s="21">
        <f>SUMIFS('9. Adjustment (MHSA)'!$F$13:$F$22,'9. Adjustment (MHSA)'!$D$13:$D$22,"PEI",'9. Adjustment (MHSA)'!$E$13:$E$22,"FY 2016-17")</f>
        <v>0</v>
      </c>
      <c r="F73" s="21">
        <f>SUMIFS('9. Adjustment (MHSA)'!$F$13:$F$22,'9. Adjustment (MHSA)'!$D$13:$D$22,"INN",'9. Adjustment (MHSA)'!$E$13:$E$22,"FY 2016-17")</f>
        <v>0</v>
      </c>
      <c r="G73" s="21">
        <f>SUMIFS('9. Adjustment (MHSA)'!$F$13:$F$22,'9. Adjustment (MHSA)'!$D$13:$D$22,"WET",'9. Adjustment (MHSA)'!$E$13:$E$22,"FY 2016-17")</f>
        <v>0</v>
      </c>
      <c r="H73" s="21">
        <f>SUMIFS('9. Adjustment (MHSA)'!$F$13:$F$22,'9. Adjustment (MHSA)'!$D$13:$D$22,"CFTN",'9. Adjustment (MHSA)'!$E$13:$E$22,"FY 2016-17")</f>
        <v>0</v>
      </c>
      <c r="I73" s="21">
        <f>SUMIFS('9. Adjustment (MHSA)'!$F$13:$F$22,'9. Adjustment (MHSA)'!$D$13:$D$22,"TTACB",'9. Adjustment (MHSA)'!$E$13:$E$22,"FY 2016-17")</f>
        <v>0</v>
      </c>
      <c r="J73" s="21">
        <f>SUMIFS('9. Adjustment (MHSA)'!$F$13:$F$22,'9. Adjustment (MHSA)'!$D$13:$D$22,"WET RP",'9. Adjustment (MHSA)'!$E$13:$E$22,"FY 2016-17")</f>
        <v>0</v>
      </c>
      <c r="K73" s="20"/>
      <c r="L73" s="21">
        <f>SUMIFS('9. Adjustment (MHSA)'!$F$13:$F$22,'9. Adjustment (MHSA)'!$D$13:$D$22,"MHSA HP",'9. Adjustment (MHSA)'!$E$13:$E$22,"FY 2016-17")</f>
        <v>0</v>
      </c>
      <c r="M73" s="20"/>
      <c r="N73" s="21">
        <f t="shared" si="8"/>
        <v>0</v>
      </c>
    </row>
    <row r="74" spans="1:14" ht="24" customHeight="1" x14ac:dyDescent="0.2">
      <c r="A74" s="98"/>
      <c r="B74" s="101">
        <v>13</v>
      </c>
      <c r="C74" s="22" t="s">
        <v>54</v>
      </c>
      <c r="D74" s="23">
        <f>SUMIFS('9. Adjustment (MHSA)'!$F$28:$F$30,'9. Adjustment (MHSA)'!$E$28:$E$30,"CSS")</f>
        <v>0</v>
      </c>
      <c r="E74" s="23">
        <f>SUMIFS('9. Adjustment (MHSA)'!$F$28:$F$30,'9. Adjustment (MHSA)'!$E$28:$E$30,"PEI")</f>
        <v>0</v>
      </c>
      <c r="F74" s="23">
        <f>SUMIFS('9. Adjustment (MHSA)'!$F$28:$F$30,'9. Adjustment (MHSA)'!$E$28:$E$30,"INN")</f>
        <v>0</v>
      </c>
      <c r="G74" s="23">
        <f>SUMIFS('9. Adjustment (MHSA)'!$F$28:$F$30,'9. Adjustment (MHSA)'!$E$28:$E$30,"WET")</f>
        <v>0</v>
      </c>
      <c r="H74" s="23">
        <f>SUMIFS('9. Adjustment (MHSA)'!$F$28:$F$30,'9. Adjustment (MHSA)'!$E$28:$E$30,"CFTN")</f>
        <v>0</v>
      </c>
      <c r="I74" s="23">
        <f>SUMIFS('9. Adjustment (MHSA)'!$F$28:$F$30,'9. Adjustment (MHSA)'!$E$28:$E$30,"TTACB")</f>
        <v>0</v>
      </c>
      <c r="J74" s="23">
        <f>SUMIFS('9. Adjustment (MHSA)'!$F$28:$F$30,'9. Adjustment (MHSA)'!$E$28:$E$30,"WET RP")</f>
        <v>0</v>
      </c>
      <c r="K74" s="23">
        <f>SUMIFS('9. Adjustment (MHSA)'!$F$28:$F$30,'9. Adjustment (MHSA)'!$E$28:$E$30,"PEI SW")</f>
        <v>0</v>
      </c>
      <c r="L74" s="23">
        <f>SUMIFS('9. Adjustment (MHSA)'!$F$28:$F$30,'9. Adjustment (MHSA)'!$E$28:$E$30,"MHSA HP")</f>
        <v>0</v>
      </c>
      <c r="M74" s="30"/>
      <c r="N74" s="23">
        <f t="shared" si="8"/>
        <v>0</v>
      </c>
    </row>
    <row r="75" spans="1:14" ht="24" customHeight="1" x14ac:dyDescent="0.25">
      <c r="A75" s="98"/>
      <c r="B75" s="102">
        <v>14</v>
      </c>
      <c r="C75" s="24" t="s">
        <v>55</v>
      </c>
      <c r="D75" s="10">
        <f>SUM(D62:D74)</f>
        <v>-3594054.65</v>
      </c>
      <c r="E75" s="10">
        <f t="shared" ref="E75:M75" si="9">SUM(E62:E74)</f>
        <v>-898513.66</v>
      </c>
      <c r="F75" s="10">
        <f t="shared" si="9"/>
        <v>-236450.96</v>
      </c>
      <c r="G75" s="10">
        <f t="shared" si="9"/>
        <v>0</v>
      </c>
      <c r="H75" s="10">
        <f t="shared" si="9"/>
        <v>0</v>
      </c>
      <c r="I75" s="10">
        <f t="shared" si="9"/>
        <v>0</v>
      </c>
      <c r="J75" s="10">
        <f t="shared" si="9"/>
        <v>0</v>
      </c>
      <c r="K75" s="10">
        <f t="shared" si="9"/>
        <v>0</v>
      </c>
      <c r="L75" s="10">
        <f t="shared" si="9"/>
        <v>0</v>
      </c>
      <c r="M75" s="10">
        <f t="shared" si="9"/>
        <v>0</v>
      </c>
      <c r="N75" s="10">
        <f t="shared" si="8"/>
        <v>-4729019.2699999996</v>
      </c>
    </row>
    <row r="76" spans="1:14" ht="24" customHeight="1" x14ac:dyDescent="0.25">
      <c r="A76" s="98"/>
      <c r="B76" s="450" t="s">
        <v>383</v>
      </c>
      <c r="C76" s="451"/>
      <c r="D76" s="26"/>
      <c r="E76" s="26"/>
      <c r="F76" s="26"/>
      <c r="G76" s="26"/>
      <c r="H76" s="26"/>
      <c r="I76" s="26"/>
      <c r="J76" s="26"/>
      <c r="K76" s="26"/>
      <c r="L76" s="26"/>
      <c r="M76" s="26"/>
      <c r="N76" s="26"/>
    </row>
    <row r="77" spans="1:14" ht="24" customHeight="1" x14ac:dyDescent="0.2">
      <c r="A77" s="98"/>
      <c r="B77" s="100">
        <v>1</v>
      </c>
      <c r="C77" s="19" t="s">
        <v>44</v>
      </c>
      <c r="D77" s="21">
        <f>'10. Adjustment (FFP)'!H13</f>
        <v>0</v>
      </c>
      <c r="E77" s="21">
        <f>'10. Adjustment (FFP)'!H23</f>
        <v>0</v>
      </c>
      <c r="F77" s="21">
        <f>'10. Adjustment (FFP)'!H33</f>
        <v>0</v>
      </c>
      <c r="G77" s="21">
        <f>'10. Adjustment (FFP)'!H43</f>
        <v>0</v>
      </c>
      <c r="H77" s="20"/>
      <c r="I77" s="20"/>
      <c r="J77" s="20"/>
      <c r="K77" s="20"/>
      <c r="L77" s="20"/>
      <c r="M77" s="20"/>
      <c r="N77" s="21">
        <f>SUM(D77:M77)</f>
        <v>0</v>
      </c>
    </row>
    <row r="78" spans="1:14" ht="24" customHeight="1" x14ac:dyDescent="0.2">
      <c r="A78" s="98"/>
      <c r="B78" s="100">
        <v>2</v>
      </c>
      <c r="C78" s="19" t="s">
        <v>45</v>
      </c>
      <c r="D78" s="21">
        <f>'10. Adjustment (FFP)'!H14</f>
        <v>0</v>
      </c>
      <c r="E78" s="21">
        <f>'10. Adjustment (FFP)'!H24</f>
        <v>0</v>
      </c>
      <c r="F78" s="21">
        <f>'10. Adjustment (FFP)'!H34</f>
        <v>0</v>
      </c>
      <c r="G78" s="21">
        <f>'10. Adjustment (FFP)'!H44</f>
        <v>0</v>
      </c>
      <c r="H78" s="20"/>
      <c r="I78" s="20"/>
      <c r="J78" s="20"/>
      <c r="K78" s="20"/>
      <c r="L78" s="20"/>
      <c r="M78" s="20"/>
      <c r="N78" s="21">
        <f t="shared" ref="N78:N87" si="10">SUM(D78:M78)</f>
        <v>0</v>
      </c>
    </row>
    <row r="79" spans="1:14" ht="24" customHeight="1" x14ac:dyDescent="0.2">
      <c r="A79" s="98"/>
      <c r="B79" s="100">
        <v>3</v>
      </c>
      <c r="C79" s="19" t="s">
        <v>46</v>
      </c>
      <c r="D79" s="21">
        <f>'10. Adjustment (FFP)'!H15</f>
        <v>0</v>
      </c>
      <c r="E79" s="21">
        <f>'10. Adjustment (FFP)'!H25</f>
        <v>0</v>
      </c>
      <c r="F79" s="21">
        <f>'10. Adjustment (FFP)'!H35</f>
        <v>0</v>
      </c>
      <c r="G79" s="21">
        <f>'10. Adjustment (FFP)'!H45</f>
        <v>0</v>
      </c>
      <c r="H79" s="20"/>
      <c r="I79" s="20"/>
      <c r="J79" s="20"/>
      <c r="K79" s="20"/>
      <c r="L79" s="20"/>
      <c r="M79" s="20"/>
      <c r="N79" s="21">
        <f t="shared" si="10"/>
        <v>0</v>
      </c>
    </row>
    <row r="80" spans="1:14" ht="24" customHeight="1" x14ac:dyDescent="0.2">
      <c r="A80" s="98"/>
      <c r="B80" s="100">
        <v>4</v>
      </c>
      <c r="C80" s="19" t="s">
        <v>47</v>
      </c>
      <c r="D80" s="21">
        <f>'10. Adjustment (FFP)'!H16</f>
        <v>0</v>
      </c>
      <c r="E80" s="21">
        <f>'10. Adjustment (FFP)'!H26</f>
        <v>0</v>
      </c>
      <c r="F80" s="21">
        <f>'10. Adjustment (FFP)'!H36</f>
        <v>0</v>
      </c>
      <c r="G80" s="21">
        <f>'10. Adjustment (FFP)'!H46</f>
        <v>0</v>
      </c>
      <c r="H80" s="20"/>
      <c r="I80" s="20"/>
      <c r="J80" s="20"/>
      <c r="K80" s="20"/>
      <c r="L80" s="20"/>
      <c r="M80" s="20"/>
      <c r="N80" s="21">
        <f t="shared" si="10"/>
        <v>0</v>
      </c>
    </row>
    <row r="81" spans="1:14" ht="24" customHeight="1" x14ac:dyDescent="0.2">
      <c r="A81" s="98"/>
      <c r="B81" s="100">
        <v>5</v>
      </c>
      <c r="C81" s="19" t="s">
        <v>48</v>
      </c>
      <c r="D81" s="21">
        <f>'10. Adjustment (FFP)'!H17</f>
        <v>0</v>
      </c>
      <c r="E81" s="21">
        <f>'10. Adjustment (FFP)'!H27</f>
        <v>0</v>
      </c>
      <c r="F81" s="21">
        <f>'10. Adjustment (FFP)'!H37</f>
        <v>0</v>
      </c>
      <c r="G81" s="21">
        <f>'10. Adjustment (FFP)'!H47</f>
        <v>0</v>
      </c>
      <c r="H81" s="20"/>
      <c r="I81" s="20"/>
      <c r="J81" s="20"/>
      <c r="K81" s="20"/>
      <c r="L81" s="20"/>
      <c r="M81" s="20"/>
      <c r="N81" s="21">
        <f t="shared" si="10"/>
        <v>0</v>
      </c>
    </row>
    <row r="82" spans="1:14" ht="24" customHeight="1" x14ac:dyDescent="0.2">
      <c r="A82" s="98"/>
      <c r="B82" s="100">
        <v>6</v>
      </c>
      <c r="C82" s="19" t="s">
        <v>49</v>
      </c>
      <c r="D82" s="21">
        <f>'10. Adjustment (FFP)'!H18</f>
        <v>0</v>
      </c>
      <c r="E82" s="21">
        <f>'10. Adjustment (FFP)'!H28</f>
        <v>0</v>
      </c>
      <c r="F82" s="21">
        <f>'10. Adjustment (FFP)'!H38</f>
        <v>0</v>
      </c>
      <c r="G82" s="21">
        <f>'10. Adjustment (FFP)'!H48</f>
        <v>0</v>
      </c>
      <c r="H82" s="20"/>
      <c r="I82" s="20"/>
      <c r="J82" s="20"/>
      <c r="K82" s="20"/>
      <c r="L82" s="20"/>
      <c r="M82" s="20"/>
      <c r="N82" s="21">
        <f t="shared" si="10"/>
        <v>0</v>
      </c>
    </row>
    <row r="83" spans="1:14" ht="24" customHeight="1" x14ac:dyDescent="0.2">
      <c r="A83" s="98"/>
      <c r="B83" s="100">
        <v>7</v>
      </c>
      <c r="C83" s="19" t="s">
        <v>50</v>
      </c>
      <c r="D83" s="21">
        <f>'10. Adjustment (FFP)'!H19</f>
        <v>0</v>
      </c>
      <c r="E83" s="21">
        <f>'10. Adjustment (FFP)'!H29</f>
        <v>0</v>
      </c>
      <c r="F83" s="21">
        <f>'10. Adjustment (FFP)'!H39</f>
        <v>0</v>
      </c>
      <c r="G83" s="21">
        <f>'10. Adjustment (FFP)'!H49</f>
        <v>0</v>
      </c>
      <c r="H83" s="20"/>
      <c r="I83" s="20"/>
      <c r="J83" s="20"/>
      <c r="K83" s="20"/>
      <c r="L83" s="20"/>
      <c r="M83" s="20"/>
      <c r="N83" s="21">
        <f t="shared" si="10"/>
        <v>0</v>
      </c>
    </row>
    <row r="84" spans="1:14" ht="24" customHeight="1" x14ac:dyDescent="0.2">
      <c r="A84" s="98"/>
      <c r="B84" s="100">
        <v>8</v>
      </c>
      <c r="C84" s="19" t="s">
        <v>51</v>
      </c>
      <c r="D84" s="21">
        <f>'10. Adjustment (FFP)'!H20</f>
        <v>0</v>
      </c>
      <c r="E84" s="21">
        <f>'10. Adjustment (FFP)'!H30</f>
        <v>0</v>
      </c>
      <c r="F84" s="21">
        <f>'10. Adjustment (FFP)'!H40</f>
        <v>0</v>
      </c>
      <c r="G84" s="21">
        <f>'10. Adjustment (FFP)'!H50</f>
        <v>0</v>
      </c>
      <c r="H84" s="20"/>
      <c r="I84" s="20"/>
      <c r="J84" s="20"/>
      <c r="K84" s="20"/>
      <c r="L84" s="20"/>
      <c r="M84" s="20"/>
      <c r="N84" s="21">
        <f t="shared" si="10"/>
        <v>0</v>
      </c>
    </row>
    <row r="85" spans="1:14" ht="24" customHeight="1" x14ac:dyDescent="0.2">
      <c r="A85" s="98"/>
      <c r="B85" s="100">
        <v>9</v>
      </c>
      <c r="C85" s="19" t="s">
        <v>52</v>
      </c>
      <c r="D85" s="21">
        <f>'10. Adjustment (FFP)'!H21</f>
        <v>0</v>
      </c>
      <c r="E85" s="21">
        <f>'10. Adjustment (FFP)'!H31</f>
        <v>0</v>
      </c>
      <c r="F85" s="21">
        <f>'10. Adjustment (FFP)'!H41</f>
        <v>0</v>
      </c>
      <c r="G85" s="21">
        <f>'10. Adjustment (FFP)'!H51</f>
        <v>0</v>
      </c>
      <c r="H85" s="20"/>
      <c r="I85" s="20"/>
      <c r="J85" s="20"/>
      <c r="K85" s="20"/>
      <c r="L85" s="20"/>
      <c r="M85" s="20"/>
      <c r="N85" s="21">
        <f t="shared" si="10"/>
        <v>0</v>
      </c>
    </row>
    <row r="86" spans="1:14" ht="24" customHeight="1" x14ac:dyDescent="0.2">
      <c r="A86" s="98"/>
      <c r="B86" s="101">
        <v>10</v>
      </c>
      <c r="C86" s="22" t="s">
        <v>53</v>
      </c>
      <c r="D86" s="23">
        <f>'10. Adjustment (FFP)'!H22</f>
        <v>0</v>
      </c>
      <c r="E86" s="23">
        <f>'10. Adjustment (FFP)'!H32</f>
        <v>0</v>
      </c>
      <c r="F86" s="23">
        <f>'10. Adjustment (FFP)'!H42</f>
        <v>0</v>
      </c>
      <c r="G86" s="23">
        <f>'10. Adjustment (FFP)'!H52</f>
        <v>0</v>
      </c>
      <c r="H86" s="30"/>
      <c r="I86" s="30"/>
      <c r="J86" s="30"/>
      <c r="K86" s="30"/>
      <c r="L86" s="30"/>
      <c r="M86" s="30"/>
      <c r="N86" s="23">
        <f t="shared" si="10"/>
        <v>0</v>
      </c>
    </row>
    <row r="87" spans="1:14" ht="24" customHeight="1" x14ac:dyDescent="0.25">
      <c r="A87" s="98"/>
      <c r="B87" s="102">
        <v>11</v>
      </c>
      <c r="C87" s="24" t="s">
        <v>55</v>
      </c>
      <c r="D87" s="10">
        <f>SUM(D77:D86)</f>
        <v>0</v>
      </c>
      <c r="E87" s="10">
        <f>SUM(E77:E86)</f>
        <v>0</v>
      </c>
      <c r="F87" s="10">
        <f>SUM(F77:F86)</f>
        <v>0</v>
      </c>
      <c r="G87" s="10">
        <f>SUM(G77:G86)</f>
        <v>0</v>
      </c>
      <c r="H87" s="32"/>
      <c r="I87" s="32"/>
      <c r="J87" s="32"/>
      <c r="K87" s="32"/>
      <c r="L87" s="32"/>
      <c r="M87" s="32"/>
      <c r="N87" s="10">
        <f t="shared" si="10"/>
        <v>0</v>
      </c>
    </row>
    <row r="88" spans="1:14" ht="24" customHeight="1" x14ac:dyDescent="0.25">
      <c r="A88" s="98"/>
      <c r="B88" s="92" t="s">
        <v>384</v>
      </c>
      <c r="C88" s="91"/>
      <c r="D88" s="94"/>
      <c r="E88" s="26"/>
      <c r="F88" s="26"/>
      <c r="G88" s="26"/>
      <c r="H88" s="26"/>
      <c r="I88" s="26"/>
      <c r="J88" s="26"/>
      <c r="K88" s="26"/>
      <c r="L88" s="26"/>
      <c r="M88" s="26"/>
      <c r="N88" s="26"/>
    </row>
    <row r="89" spans="1:14" ht="24" customHeight="1" x14ac:dyDescent="0.2">
      <c r="A89" s="98"/>
      <c r="B89" s="100">
        <v>1</v>
      </c>
      <c r="C89" s="19" t="s">
        <v>43</v>
      </c>
      <c r="D89" s="37"/>
      <c r="E89" s="37"/>
      <c r="F89" s="37"/>
      <c r="G89" s="37"/>
      <c r="H89" s="37"/>
      <c r="I89" s="37"/>
      <c r="J89" s="37"/>
      <c r="K89" s="37"/>
      <c r="L89" s="37"/>
      <c r="M89" s="21">
        <f>M28+M33+M60+M75</f>
        <v>19490383.039999999</v>
      </c>
      <c r="N89" s="21">
        <f>M89</f>
        <v>19490383.039999999</v>
      </c>
    </row>
    <row r="90" spans="1:14" ht="24" customHeight="1" x14ac:dyDescent="0.2">
      <c r="A90" s="98"/>
      <c r="B90" s="100">
        <v>2</v>
      </c>
      <c r="C90" s="19" t="s">
        <v>44</v>
      </c>
      <c r="D90" s="20"/>
      <c r="E90" s="20"/>
      <c r="F90" s="20"/>
      <c r="G90" s="21">
        <f t="shared" ref="G90:G97" si="11">G17-G36+G63+G77</f>
        <v>0</v>
      </c>
      <c r="H90" s="20"/>
      <c r="I90" s="20"/>
      <c r="J90" s="20"/>
      <c r="K90" s="20"/>
      <c r="L90" s="20"/>
      <c r="M90" s="20"/>
      <c r="N90" s="21">
        <f>SUM(D90:M90)</f>
        <v>0</v>
      </c>
    </row>
    <row r="91" spans="1:14" ht="24" customHeight="1" x14ac:dyDescent="0.2">
      <c r="A91" s="98"/>
      <c r="B91" s="100">
        <v>3</v>
      </c>
      <c r="C91" s="19" t="s">
        <v>45</v>
      </c>
      <c r="D91" s="20"/>
      <c r="E91" s="20"/>
      <c r="F91" s="20"/>
      <c r="G91" s="21">
        <f t="shared" si="11"/>
        <v>0</v>
      </c>
      <c r="H91" s="21">
        <f t="shared" ref="H91:H97" si="12">H18-H37+H64+H78</f>
        <v>0</v>
      </c>
      <c r="I91" s="20"/>
      <c r="J91" s="20"/>
      <c r="K91" s="20"/>
      <c r="L91" s="20"/>
      <c r="M91" s="20"/>
      <c r="N91" s="21">
        <f t="shared" ref="N91:N102" si="13">SUM(D91:M91)</f>
        <v>0</v>
      </c>
    </row>
    <row r="92" spans="1:14" ht="24" customHeight="1" x14ac:dyDescent="0.2">
      <c r="A92" s="98"/>
      <c r="B92" s="100">
        <v>4</v>
      </c>
      <c r="C92" s="19" t="s">
        <v>46</v>
      </c>
      <c r="D92" s="21">
        <f t="shared" ref="D92:F97" si="14">D19-D38+D65+D79</f>
        <v>0</v>
      </c>
      <c r="E92" s="21">
        <f t="shared" si="14"/>
        <v>0</v>
      </c>
      <c r="F92" s="21">
        <f t="shared" si="14"/>
        <v>0</v>
      </c>
      <c r="G92" s="21">
        <f t="shared" si="11"/>
        <v>0</v>
      </c>
      <c r="H92" s="21">
        <f t="shared" si="12"/>
        <v>0</v>
      </c>
      <c r="I92" s="21">
        <f t="shared" ref="I92:K95" si="15">I19-I38+I65+I79</f>
        <v>0</v>
      </c>
      <c r="J92" s="21">
        <f t="shared" si="15"/>
        <v>0</v>
      </c>
      <c r="K92" s="21">
        <f t="shared" si="15"/>
        <v>0</v>
      </c>
      <c r="L92" s="20"/>
      <c r="M92" s="20"/>
      <c r="N92" s="21">
        <f t="shared" si="13"/>
        <v>0</v>
      </c>
    </row>
    <row r="93" spans="1:14" ht="24" customHeight="1" x14ac:dyDescent="0.2">
      <c r="A93" s="98"/>
      <c r="B93" s="100">
        <v>5</v>
      </c>
      <c r="C93" s="19" t="s">
        <v>47</v>
      </c>
      <c r="D93" s="21">
        <f t="shared" si="14"/>
        <v>0</v>
      </c>
      <c r="E93" s="21">
        <f t="shared" si="14"/>
        <v>0</v>
      </c>
      <c r="F93" s="21">
        <f t="shared" si="14"/>
        <v>0</v>
      </c>
      <c r="G93" s="21">
        <f t="shared" si="11"/>
        <v>3462946.64</v>
      </c>
      <c r="H93" s="21">
        <f t="shared" si="12"/>
        <v>1893549.74</v>
      </c>
      <c r="I93" s="21">
        <f t="shared" si="15"/>
        <v>0</v>
      </c>
      <c r="J93" s="21">
        <f t="shared" si="15"/>
        <v>0</v>
      </c>
      <c r="K93" s="21">
        <f t="shared" si="15"/>
        <v>0</v>
      </c>
      <c r="L93" s="20"/>
      <c r="M93" s="20"/>
      <c r="N93" s="21">
        <f t="shared" si="13"/>
        <v>5356496.38</v>
      </c>
    </row>
    <row r="94" spans="1:14" ht="24" customHeight="1" x14ac:dyDescent="0.2">
      <c r="A94" s="98"/>
      <c r="B94" s="100">
        <v>6</v>
      </c>
      <c r="C94" s="19" t="s">
        <v>48</v>
      </c>
      <c r="D94" s="21">
        <f t="shared" si="14"/>
        <v>0</v>
      </c>
      <c r="E94" s="21">
        <f t="shared" si="14"/>
        <v>0</v>
      </c>
      <c r="F94" s="21">
        <f t="shared" si="14"/>
        <v>219887.70999999996</v>
      </c>
      <c r="G94" s="21">
        <f t="shared" si="11"/>
        <v>0</v>
      </c>
      <c r="H94" s="21">
        <f t="shared" si="12"/>
        <v>0</v>
      </c>
      <c r="I94" s="21">
        <f t="shared" si="15"/>
        <v>0</v>
      </c>
      <c r="J94" s="21">
        <f t="shared" si="15"/>
        <v>0</v>
      </c>
      <c r="K94" s="21">
        <f t="shared" si="15"/>
        <v>0</v>
      </c>
      <c r="L94" s="20"/>
      <c r="M94" s="20"/>
      <c r="N94" s="21">
        <f t="shared" si="13"/>
        <v>219887.70999999996</v>
      </c>
    </row>
    <row r="95" spans="1:14" ht="24" customHeight="1" x14ac:dyDescent="0.2">
      <c r="A95" s="98"/>
      <c r="B95" s="100">
        <v>7</v>
      </c>
      <c r="C95" s="19" t="s">
        <v>49</v>
      </c>
      <c r="D95" s="21">
        <f t="shared" si="14"/>
        <v>0</v>
      </c>
      <c r="E95" s="21">
        <f t="shared" si="14"/>
        <v>0</v>
      </c>
      <c r="F95" s="21">
        <f t="shared" si="14"/>
        <v>0</v>
      </c>
      <c r="G95" s="21">
        <f t="shared" si="11"/>
        <v>0</v>
      </c>
      <c r="H95" s="21">
        <f t="shared" si="12"/>
        <v>0</v>
      </c>
      <c r="I95" s="21">
        <f t="shared" si="15"/>
        <v>0</v>
      </c>
      <c r="J95" s="21">
        <f t="shared" si="15"/>
        <v>0</v>
      </c>
      <c r="K95" s="21">
        <f t="shared" si="15"/>
        <v>0</v>
      </c>
      <c r="L95" s="20"/>
      <c r="M95" s="20"/>
      <c r="N95" s="21">
        <f t="shared" si="13"/>
        <v>0</v>
      </c>
    </row>
    <row r="96" spans="1:14" ht="24" customHeight="1" x14ac:dyDescent="0.2">
      <c r="A96" s="98"/>
      <c r="B96" s="100">
        <v>8</v>
      </c>
      <c r="C96" s="19" t="s">
        <v>50</v>
      </c>
      <c r="D96" s="21">
        <f t="shared" si="14"/>
        <v>0</v>
      </c>
      <c r="E96" s="21">
        <f t="shared" si="14"/>
        <v>0</v>
      </c>
      <c r="F96" s="21">
        <f t="shared" si="14"/>
        <v>0</v>
      </c>
      <c r="G96" s="21">
        <f t="shared" si="11"/>
        <v>0</v>
      </c>
      <c r="H96" s="21">
        <f t="shared" si="12"/>
        <v>0</v>
      </c>
      <c r="I96" s="20"/>
      <c r="J96" s="21">
        <f>J23-J42+J69+J83</f>
        <v>0</v>
      </c>
      <c r="K96" s="20"/>
      <c r="L96" s="20"/>
      <c r="M96" s="20"/>
      <c r="N96" s="21">
        <f t="shared" si="13"/>
        <v>0</v>
      </c>
    </row>
    <row r="97" spans="1:14" ht="24" customHeight="1" x14ac:dyDescent="0.2">
      <c r="A97" s="98"/>
      <c r="B97" s="100">
        <v>9</v>
      </c>
      <c r="C97" s="19" t="s">
        <v>51</v>
      </c>
      <c r="D97" s="21">
        <f t="shared" si="14"/>
        <v>0</v>
      </c>
      <c r="E97" s="21">
        <f t="shared" si="14"/>
        <v>0</v>
      </c>
      <c r="F97" s="21">
        <f t="shared" si="14"/>
        <v>307497</v>
      </c>
      <c r="G97" s="21">
        <f t="shared" si="11"/>
        <v>0</v>
      </c>
      <c r="H97" s="21">
        <f t="shared" si="12"/>
        <v>0</v>
      </c>
      <c r="I97" s="20"/>
      <c r="J97" s="21">
        <f>J24-J43+J70+J84</f>
        <v>0</v>
      </c>
      <c r="K97" s="20"/>
      <c r="L97" s="20"/>
      <c r="M97" s="20"/>
      <c r="N97" s="21">
        <f t="shared" si="13"/>
        <v>307497</v>
      </c>
    </row>
    <row r="98" spans="1:14" ht="24" customHeight="1" x14ac:dyDescent="0.2">
      <c r="A98" s="98"/>
      <c r="B98" s="100">
        <v>10</v>
      </c>
      <c r="C98" s="19" t="s">
        <v>52</v>
      </c>
      <c r="D98" s="21">
        <f>D25-D44+D57+D71+D85</f>
        <v>0</v>
      </c>
      <c r="E98" s="21">
        <f>E25-E44+E57+E71+E85</f>
        <v>47385.110000000335</v>
      </c>
      <c r="F98" s="21">
        <f>F25-F44+F57+F71+F85</f>
        <v>2128367</v>
      </c>
      <c r="G98" s="21">
        <f>G25-G44+G57+G71+G85</f>
        <v>0</v>
      </c>
      <c r="H98" s="21">
        <f>H25-H44+H57+H71+H85</f>
        <v>9738105</v>
      </c>
      <c r="I98" s="20"/>
      <c r="J98" s="21">
        <f>J25-J44+J71+J85</f>
        <v>0</v>
      </c>
      <c r="K98" s="20"/>
      <c r="L98" s="20"/>
      <c r="M98" s="20"/>
      <c r="N98" s="21">
        <f t="shared" si="13"/>
        <v>11913857.109999999</v>
      </c>
    </row>
    <row r="99" spans="1:14" ht="24" customHeight="1" x14ac:dyDescent="0.2">
      <c r="A99" s="98"/>
      <c r="B99" s="100">
        <v>11</v>
      </c>
      <c r="C99" s="19" t="s">
        <v>53</v>
      </c>
      <c r="D99" s="21">
        <f>D26-D45+D58+D72+D86</f>
        <v>7763568.6199999992</v>
      </c>
      <c r="E99" s="21">
        <f>E26-E45+E58+E72+E86</f>
        <v>5616007.3399999999</v>
      </c>
      <c r="F99" s="21">
        <f>F26-F45+F58+F72+F86</f>
        <v>1477897.04</v>
      </c>
      <c r="G99" s="21">
        <f>G26-G45+G58+G72+G86</f>
        <v>0</v>
      </c>
      <c r="H99" s="21">
        <f>H26-H45++H58+H72+H86</f>
        <v>0</v>
      </c>
      <c r="I99" s="20"/>
      <c r="J99" s="21">
        <f>J26-J45+J72+J86</f>
        <v>0</v>
      </c>
      <c r="K99" s="20"/>
      <c r="L99" s="21">
        <f>L26-L45+L72+L86</f>
        <v>0</v>
      </c>
      <c r="M99" s="20"/>
      <c r="N99" s="21">
        <f t="shared" si="13"/>
        <v>14857473</v>
      </c>
    </row>
    <row r="100" spans="1:14" ht="24" customHeight="1" x14ac:dyDescent="0.2">
      <c r="A100" s="98"/>
      <c r="B100" s="100">
        <v>12</v>
      </c>
      <c r="C100" s="19" t="s">
        <v>66</v>
      </c>
      <c r="D100" s="21">
        <f>D31-D46+D59+D73</f>
        <v>34500506.75</v>
      </c>
      <c r="E100" s="21">
        <f>E31-E46+E59+E73</f>
        <v>8625126.6699999999</v>
      </c>
      <c r="F100" s="21">
        <f>F31-F46+F59+F73</f>
        <v>2269770.1800000002</v>
      </c>
      <c r="G100" s="21">
        <f>G31-G46+G59+G73</f>
        <v>0</v>
      </c>
      <c r="H100" s="21">
        <f>H31-H46+H59+H73</f>
        <v>0</v>
      </c>
      <c r="I100" s="20"/>
      <c r="J100" s="21">
        <f>J31-J46+J73</f>
        <v>0</v>
      </c>
      <c r="K100" s="20"/>
      <c r="L100" s="21">
        <f>L31-L46+L59+L73</f>
        <v>0</v>
      </c>
      <c r="M100" s="20"/>
      <c r="N100" s="21">
        <f t="shared" si="13"/>
        <v>45395403.600000001</v>
      </c>
    </row>
    <row r="101" spans="1:14" ht="24" customHeight="1" x14ac:dyDescent="0.2">
      <c r="A101" s="98"/>
      <c r="B101" s="101">
        <v>13</v>
      </c>
      <c r="C101" s="22" t="s">
        <v>54</v>
      </c>
      <c r="D101" s="23">
        <f t="shared" ref="D101:L101" si="16">(D27+D32)-(D47+D74)</f>
        <v>0</v>
      </c>
      <c r="E101" s="23">
        <f t="shared" si="16"/>
        <v>119954.7</v>
      </c>
      <c r="F101" s="23">
        <f t="shared" si="16"/>
        <v>0</v>
      </c>
      <c r="G101" s="23">
        <f t="shared" si="16"/>
        <v>0</v>
      </c>
      <c r="H101" s="23">
        <f t="shared" si="16"/>
        <v>0</v>
      </c>
      <c r="I101" s="23">
        <f t="shared" si="16"/>
        <v>0</v>
      </c>
      <c r="J101" s="23">
        <f t="shared" si="16"/>
        <v>0</v>
      </c>
      <c r="K101" s="23">
        <f t="shared" si="16"/>
        <v>0</v>
      </c>
      <c r="L101" s="23">
        <f t="shared" si="16"/>
        <v>0</v>
      </c>
      <c r="M101" s="30"/>
      <c r="N101" s="23">
        <f t="shared" si="13"/>
        <v>119954.7</v>
      </c>
    </row>
    <row r="102" spans="1:14" ht="24" customHeight="1" x14ac:dyDescent="0.25">
      <c r="A102" s="98"/>
      <c r="B102" s="102">
        <v>14</v>
      </c>
      <c r="C102" s="24" t="s">
        <v>55</v>
      </c>
      <c r="D102" s="10">
        <f>SUM(D89:D101)</f>
        <v>42264075.369999997</v>
      </c>
      <c r="E102" s="10">
        <f t="shared" ref="E102:L102" si="17">SUM(E89:E101)</f>
        <v>14408473.82</v>
      </c>
      <c r="F102" s="10">
        <f t="shared" si="17"/>
        <v>6403418.9299999997</v>
      </c>
      <c r="G102" s="10">
        <f>SUM(G89:G101)</f>
        <v>3462946.64</v>
      </c>
      <c r="H102" s="10">
        <f t="shared" si="17"/>
        <v>11631654.74</v>
      </c>
      <c r="I102" s="10">
        <f t="shared" si="17"/>
        <v>0</v>
      </c>
      <c r="J102" s="10">
        <f t="shared" si="17"/>
        <v>0</v>
      </c>
      <c r="K102" s="10">
        <f t="shared" si="17"/>
        <v>0</v>
      </c>
      <c r="L102" s="10">
        <f t="shared" si="17"/>
        <v>0</v>
      </c>
      <c r="M102" s="10">
        <f>M89</f>
        <v>19490383.039999999</v>
      </c>
      <c r="N102" s="10">
        <f t="shared" si="13"/>
        <v>97660952.539999992</v>
      </c>
    </row>
    <row r="103" spans="1:14" hidden="1" x14ac:dyDescent="0.2">
      <c r="A103" s="3"/>
      <c r="B103" s="3"/>
      <c r="C103" s="3"/>
      <c r="D103" s="3"/>
      <c r="E103" s="3"/>
      <c r="F103" s="3"/>
      <c r="G103" s="3"/>
      <c r="H103" s="3"/>
      <c r="I103" s="3"/>
      <c r="J103" s="3"/>
      <c r="K103" s="3"/>
      <c r="L103" s="3"/>
      <c r="M103" s="3"/>
      <c r="N103" s="3"/>
    </row>
    <row r="106" spans="1:14" hidden="1" x14ac:dyDescent="0.2">
      <c r="I106" s="408"/>
    </row>
  </sheetData>
  <sheetProtection sheet="1" objects="1" scenarios="1" formatColumns="0" formatRows="0" selectLockedCells="1"/>
  <mergeCells count="4">
    <mergeCell ref="B5:C5"/>
    <mergeCell ref="B61:C61"/>
    <mergeCell ref="B76:C76"/>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65"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A12" zoomScale="80" zoomScaleNormal="80" zoomScaleSheetLayoutView="40" zoomScalePageLayoutView="70" workbookViewId="0">
      <pane xSplit="6" ySplit="2" topLeftCell="L47" activePane="bottomRight" state="frozen"/>
      <selection activeCell="A12" sqref="A12"/>
      <selection pane="topRight" activeCell="G12" sqref="G12"/>
      <selection pane="bottomLeft" activeCell="A14" sqref="A14"/>
      <selection pane="bottomRight" activeCell="D76" sqref="D76"/>
    </sheetView>
  </sheetViews>
  <sheetFormatPr defaultColWidth="0" defaultRowHeight="15" zeroHeight="1" x14ac:dyDescent="0.2"/>
  <cols>
    <col min="1" max="1" width="2.7109375" style="217" customWidth="1"/>
    <col min="2" max="2" width="6.7109375" style="217" customWidth="1"/>
    <col min="3" max="3" width="13.5703125" style="217" customWidth="1"/>
    <col min="4" max="4" width="33.7109375" style="217" customWidth="1"/>
    <col min="5" max="5" width="33.5703125" style="217" customWidth="1"/>
    <col min="6" max="6" width="20.7109375" style="217" customWidth="1"/>
    <col min="7" max="7" width="17.7109375" style="217" customWidth="1"/>
    <col min="8" max="8" width="21.5703125" style="217" customWidth="1"/>
    <col min="9" max="10" width="17.7109375" style="217" customWidth="1"/>
    <col min="11" max="11" width="25.42578125" style="217" customWidth="1"/>
    <col min="12" max="12" width="21" style="217" customWidth="1"/>
    <col min="13" max="13" width="17.7109375" style="217" customWidth="1"/>
    <col min="14" max="14" width="17.140625" style="217" customWidth="1"/>
    <col min="15" max="15" width="19.140625" style="217" customWidth="1"/>
    <col min="16" max="16" width="16.85546875" style="217" customWidth="1"/>
    <col min="17" max="22" width="15.140625" style="217" customWidth="1"/>
    <col min="23" max="24" width="17.7109375" style="217" hidden="1" customWidth="1"/>
    <col min="25" max="26" width="16" style="217" hidden="1" customWidth="1"/>
    <col min="27" max="16384" width="9.140625" style="217" hidden="1"/>
  </cols>
  <sheetData>
    <row r="1" spans="1:23" x14ac:dyDescent="0.2">
      <c r="A1" s="227"/>
      <c r="B1" s="458" t="s">
        <v>332</v>
      </c>
      <c r="C1" s="458"/>
      <c r="D1" s="458"/>
      <c r="E1" s="227"/>
      <c r="F1" s="227"/>
      <c r="G1" s="227"/>
      <c r="H1" s="227"/>
      <c r="I1" s="227"/>
      <c r="J1" s="227"/>
      <c r="K1" s="227"/>
      <c r="L1" s="227"/>
      <c r="M1" s="227"/>
      <c r="N1" s="227"/>
      <c r="O1" s="227"/>
      <c r="P1" s="227"/>
      <c r="Q1" s="227"/>
      <c r="R1" s="227"/>
      <c r="S1" s="227"/>
      <c r="T1" s="227"/>
      <c r="U1" s="227"/>
      <c r="V1" s="227"/>
      <c r="W1" s="227"/>
    </row>
    <row r="2" spans="1:23" x14ac:dyDescent="0.2">
      <c r="A2" s="227"/>
      <c r="B2" s="209"/>
      <c r="C2" s="209"/>
      <c r="D2" s="209"/>
      <c r="E2" s="227"/>
      <c r="F2" s="227"/>
      <c r="G2" s="227"/>
      <c r="H2" s="227"/>
      <c r="I2" s="227"/>
      <c r="J2" s="227"/>
      <c r="K2" s="227"/>
      <c r="L2" s="227"/>
      <c r="M2" s="227"/>
      <c r="N2" s="227"/>
      <c r="O2" s="227"/>
      <c r="P2" s="227"/>
      <c r="Q2" s="227"/>
      <c r="R2" s="227"/>
      <c r="S2" s="227"/>
      <c r="T2" s="227"/>
      <c r="U2" s="227"/>
      <c r="V2" s="227"/>
      <c r="W2" s="227"/>
    </row>
    <row r="3" spans="1:23" ht="18" x14ac:dyDescent="0.2">
      <c r="A3" s="227"/>
      <c r="B3" s="459" t="s">
        <v>368</v>
      </c>
      <c r="C3" s="459"/>
      <c r="D3" s="459"/>
      <c r="E3" s="459"/>
      <c r="F3" s="459"/>
      <c r="G3" s="459"/>
      <c r="H3" s="459"/>
      <c r="I3" s="459"/>
      <c r="J3" s="459"/>
      <c r="K3" s="459"/>
      <c r="L3" s="227"/>
      <c r="M3" s="227"/>
      <c r="N3" s="227"/>
      <c r="O3" s="227"/>
      <c r="P3" s="227"/>
      <c r="Q3" s="227"/>
      <c r="R3" s="227"/>
      <c r="S3" s="227"/>
      <c r="T3" s="227"/>
      <c r="U3" s="227"/>
      <c r="V3" s="227"/>
      <c r="W3" s="227"/>
    </row>
    <row r="4" spans="1:23" ht="18" x14ac:dyDescent="0.2">
      <c r="A4" s="227"/>
      <c r="B4" s="459" t="s">
        <v>0</v>
      </c>
      <c r="C4" s="459"/>
      <c r="D4" s="459"/>
      <c r="E4" s="459"/>
      <c r="F4" s="459"/>
      <c r="G4" s="459"/>
      <c r="H4" s="459"/>
      <c r="I4" s="459"/>
      <c r="J4" s="459"/>
      <c r="K4" s="459"/>
      <c r="L4" s="227"/>
      <c r="M4" s="227"/>
      <c r="N4" s="227"/>
      <c r="O4" s="227"/>
      <c r="P4" s="227"/>
      <c r="Q4" s="227"/>
      <c r="R4" s="227"/>
      <c r="S4" s="227"/>
      <c r="T4" s="227"/>
      <c r="U4" s="227"/>
      <c r="V4" s="227"/>
      <c r="W4" s="227"/>
    </row>
    <row r="5" spans="1:23" ht="18" x14ac:dyDescent="0.2">
      <c r="A5" s="227"/>
      <c r="B5" s="459" t="s">
        <v>179</v>
      </c>
      <c r="C5" s="459"/>
      <c r="D5" s="459"/>
      <c r="E5" s="459"/>
      <c r="F5" s="459"/>
      <c r="G5" s="459"/>
      <c r="H5" s="459"/>
      <c r="I5" s="459"/>
      <c r="J5" s="459"/>
      <c r="K5" s="459"/>
      <c r="L5" s="227"/>
      <c r="M5" s="227"/>
      <c r="N5" s="227"/>
      <c r="O5" s="227"/>
      <c r="P5" s="227"/>
      <c r="Q5" s="227"/>
      <c r="R5" s="227"/>
      <c r="S5" s="227"/>
      <c r="T5" s="227"/>
      <c r="U5" s="227"/>
      <c r="V5" s="227"/>
      <c r="W5" s="227"/>
    </row>
    <row r="6" spans="1:23" ht="15.75" x14ac:dyDescent="0.2">
      <c r="A6" s="227"/>
      <c r="B6" s="167"/>
      <c r="C6" s="167"/>
      <c r="D6" s="167"/>
      <c r="E6" s="167"/>
      <c r="F6" s="167"/>
      <c r="G6" s="167"/>
      <c r="H6" s="167"/>
      <c r="I6" s="167"/>
      <c r="J6" s="167"/>
      <c r="K6" s="167"/>
      <c r="L6" s="227"/>
      <c r="M6" s="227"/>
      <c r="N6" s="227"/>
      <c r="O6" s="227"/>
      <c r="P6" s="227"/>
      <c r="Q6" s="227"/>
      <c r="R6" s="227"/>
      <c r="S6" s="227"/>
      <c r="T6" s="227"/>
      <c r="U6" s="227"/>
      <c r="V6" s="227"/>
      <c r="W6" s="227"/>
    </row>
    <row r="7" spans="1:23" ht="15.75" x14ac:dyDescent="0.25">
      <c r="A7" s="227"/>
      <c r="B7" s="449" t="s">
        <v>2</v>
      </c>
      <c r="C7" s="449"/>
      <c r="D7" s="55" t="str">
        <f>IF(ISBLANK('1. Information'!D6),"",'1. Information'!D6)</f>
        <v>Fresno</v>
      </c>
      <c r="E7" s="227"/>
      <c r="F7" s="205" t="s">
        <v>3</v>
      </c>
      <c r="G7" s="228">
        <f>IF(ISBLANK('1. Information'!D5),"",'1. Information'!D5)</f>
        <v>43223</v>
      </c>
      <c r="H7" s="227"/>
      <c r="I7" s="227"/>
      <c r="J7" s="227"/>
      <c r="K7" s="229"/>
      <c r="L7" s="229"/>
      <c r="M7" s="227"/>
      <c r="N7" s="227"/>
      <c r="O7" s="227"/>
      <c r="P7" s="227"/>
      <c r="Q7" s="227"/>
      <c r="R7" s="227"/>
      <c r="S7" s="227"/>
      <c r="T7" s="227"/>
      <c r="U7" s="227"/>
      <c r="V7" s="227"/>
      <c r="W7" s="227"/>
    </row>
    <row r="8" spans="1:23" ht="15.75" x14ac:dyDescent="0.25">
      <c r="A8" s="227"/>
      <c r="B8" s="227"/>
      <c r="C8" s="15"/>
      <c r="D8" s="15"/>
      <c r="E8" s="15"/>
      <c r="F8" s="227"/>
      <c r="G8" s="7"/>
      <c r="H8" s="230"/>
      <c r="I8" s="227"/>
      <c r="J8" s="227"/>
      <c r="K8" s="227"/>
      <c r="L8" s="229"/>
      <c r="M8" s="229"/>
      <c r="N8" s="227"/>
      <c r="O8" s="227"/>
      <c r="P8" s="227"/>
      <c r="Q8" s="227"/>
      <c r="R8" s="227"/>
      <c r="S8" s="227"/>
      <c r="T8" s="227"/>
      <c r="U8" s="227"/>
      <c r="V8" s="227"/>
      <c r="W8" s="227"/>
    </row>
    <row r="9" spans="1:23" ht="18.75" thickBot="1" x14ac:dyDescent="0.3">
      <c r="A9" s="227"/>
      <c r="B9" s="398" t="s">
        <v>385</v>
      </c>
      <c r="C9" s="106"/>
      <c r="D9" s="106"/>
      <c r="E9" s="106"/>
      <c r="F9" s="231"/>
      <c r="G9" s="141"/>
      <c r="H9" s="232"/>
      <c r="I9" s="231"/>
      <c r="J9" s="231"/>
      <c r="K9" s="231"/>
      <c r="L9" s="233"/>
      <c r="M9" s="233"/>
      <c r="N9" s="231"/>
      <c r="O9" s="231"/>
      <c r="P9" s="231"/>
      <c r="Q9" s="231"/>
      <c r="R9" s="231"/>
      <c r="S9" s="231"/>
      <c r="T9" s="231"/>
      <c r="U9" s="231"/>
      <c r="W9" s="227"/>
    </row>
    <row r="10" spans="1:23" ht="16.5" thickTop="1" x14ac:dyDescent="0.25">
      <c r="A10" s="227"/>
      <c r="B10" s="273"/>
      <c r="C10" s="15"/>
      <c r="D10" s="15"/>
      <c r="E10" s="15"/>
      <c r="F10" s="227"/>
      <c r="G10" s="7"/>
      <c r="H10" s="230"/>
      <c r="I10" s="227"/>
      <c r="J10" s="227"/>
      <c r="K10" s="227"/>
      <c r="L10" s="229"/>
      <c r="M10" s="229"/>
      <c r="N10" s="227"/>
      <c r="O10" s="227"/>
      <c r="P10" s="227"/>
      <c r="Q10" s="227"/>
      <c r="R10" s="227"/>
      <c r="S10" s="227"/>
      <c r="T10" s="227"/>
      <c r="U10" s="227"/>
      <c r="V10" s="227"/>
      <c r="W10" s="227"/>
    </row>
    <row r="11" spans="1:23" ht="15.75" customHeight="1" x14ac:dyDescent="0.2">
      <c r="A11" s="227"/>
      <c r="F11" s="234" t="s">
        <v>59</v>
      </c>
      <c r="G11" s="142" t="s">
        <v>61</v>
      </c>
      <c r="H11" s="235" t="s">
        <v>65</v>
      </c>
      <c r="I11" s="219" t="s">
        <v>350</v>
      </c>
      <c r="J11" s="234" t="s">
        <v>351</v>
      </c>
      <c r="K11" s="236" t="s">
        <v>352</v>
      </c>
      <c r="L11" s="237" t="s">
        <v>361</v>
      </c>
      <c r="M11" s="237" t="s">
        <v>353</v>
      </c>
      <c r="N11" s="238" t="s">
        <v>354</v>
      </c>
      <c r="O11" s="238" t="s">
        <v>355</v>
      </c>
      <c r="P11" s="238" t="s">
        <v>356</v>
      </c>
      <c r="Q11" s="238" t="s">
        <v>357</v>
      </c>
      <c r="R11" s="238" t="s">
        <v>358</v>
      </c>
      <c r="S11" s="238" t="s">
        <v>359</v>
      </c>
      <c r="T11" s="238" t="s">
        <v>360</v>
      </c>
      <c r="U11" s="238" t="s">
        <v>362</v>
      </c>
      <c r="V11" s="227"/>
      <c r="W11" s="227"/>
    </row>
    <row r="12" spans="1:23" ht="15.75" x14ac:dyDescent="0.25">
      <c r="A12" s="227"/>
      <c r="F12" s="239"/>
      <c r="G12" s="454" t="s">
        <v>62</v>
      </c>
      <c r="H12" s="449"/>
      <c r="I12" s="449"/>
      <c r="J12" s="455"/>
      <c r="K12" s="454" t="s">
        <v>60</v>
      </c>
      <c r="L12" s="449"/>
      <c r="M12" s="449"/>
      <c r="N12" s="449"/>
      <c r="O12" s="449"/>
      <c r="P12" s="449"/>
      <c r="Q12" s="449"/>
      <c r="R12" s="449"/>
      <c r="S12" s="449"/>
      <c r="T12" s="449"/>
      <c r="U12" s="449"/>
      <c r="V12" s="75"/>
      <c r="W12" s="75"/>
    </row>
    <row r="13" spans="1:23" ht="47.25" x14ac:dyDescent="0.2">
      <c r="A13" s="227"/>
      <c r="B13" s="105"/>
      <c r="F13" s="143" t="s">
        <v>279</v>
      </c>
      <c r="G13" s="113" t="s">
        <v>7</v>
      </c>
      <c r="H13" s="76" t="s">
        <v>8</v>
      </c>
      <c r="I13" s="76" t="s">
        <v>63</v>
      </c>
      <c r="J13" s="119" t="s">
        <v>10</v>
      </c>
      <c r="K13" s="128" t="s">
        <v>278</v>
      </c>
      <c r="L13" s="76" t="s">
        <v>277</v>
      </c>
      <c r="M13" s="80" t="s">
        <v>184</v>
      </c>
      <c r="N13" s="80" t="s">
        <v>185</v>
      </c>
      <c r="O13" s="81" t="s">
        <v>186</v>
      </c>
      <c r="P13" s="144" t="s">
        <v>187</v>
      </c>
      <c r="Q13" s="144" t="s">
        <v>188</v>
      </c>
      <c r="R13" s="145" t="s">
        <v>189</v>
      </c>
      <c r="S13" s="145" t="s">
        <v>190</v>
      </c>
      <c r="T13" s="145" t="s">
        <v>191</v>
      </c>
      <c r="U13" s="145" t="s">
        <v>192</v>
      </c>
      <c r="V13" s="227"/>
      <c r="W13" s="227"/>
    </row>
    <row r="14" spans="1:23" ht="15.75" x14ac:dyDescent="0.25">
      <c r="A14" s="227"/>
      <c r="B14" s="219">
        <v>1</v>
      </c>
      <c r="C14" s="452" t="s">
        <v>16</v>
      </c>
      <c r="D14" s="452"/>
      <c r="E14" s="452"/>
      <c r="F14" s="240">
        <f t="shared" ref="F14:F23" si="0">SUM($G14:$J14,$K14)</f>
        <v>0</v>
      </c>
      <c r="G14" s="163"/>
      <c r="H14" s="241"/>
      <c r="I14" s="242"/>
      <c r="J14" s="243"/>
      <c r="K14" s="244">
        <f>SUM($M14:$U14, $L14)</f>
        <v>0</v>
      </c>
      <c r="L14" s="242"/>
      <c r="M14" s="245"/>
      <c r="N14" s="245"/>
      <c r="O14" s="245"/>
      <c r="P14" s="246"/>
      <c r="Q14" s="247"/>
      <c r="R14" s="247"/>
      <c r="S14" s="247"/>
      <c r="T14" s="247"/>
      <c r="U14" s="247"/>
      <c r="V14" s="227"/>
      <c r="W14" s="227"/>
    </row>
    <row r="15" spans="1:23" ht="15" customHeight="1" x14ac:dyDescent="0.25">
      <c r="A15" s="227"/>
      <c r="B15" s="219">
        <v>2</v>
      </c>
      <c r="C15" s="452" t="s">
        <v>17</v>
      </c>
      <c r="D15" s="452"/>
      <c r="E15" s="452"/>
      <c r="F15" s="240">
        <f t="shared" si="0"/>
        <v>0</v>
      </c>
      <c r="G15" s="248"/>
      <c r="H15" s="242"/>
      <c r="I15" s="242"/>
      <c r="J15" s="243"/>
      <c r="K15" s="244">
        <f t="shared" ref="K15:K23" si="1">SUM($M15:$U15, $L15)</f>
        <v>0</v>
      </c>
      <c r="L15" s="242"/>
      <c r="M15" s="245"/>
      <c r="N15" s="245"/>
      <c r="O15" s="245"/>
      <c r="P15" s="246"/>
      <c r="Q15" s="247"/>
      <c r="R15" s="247"/>
      <c r="S15" s="247"/>
      <c r="T15" s="247"/>
      <c r="U15" s="247"/>
      <c r="V15" s="227"/>
      <c r="W15" s="227"/>
    </row>
    <row r="16" spans="1:23" ht="15.75" x14ac:dyDescent="0.25">
      <c r="A16" s="227"/>
      <c r="B16" s="219">
        <v>3</v>
      </c>
      <c r="C16" s="452" t="s">
        <v>166</v>
      </c>
      <c r="D16" s="452"/>
      <c r="E16" s="452"/>
      <c r="F16" s="240">
        <f t="shared" si="0"/>
        <v>6518024.8999999994</v>
      </c>
      <c r="G16" s="248"/>
      <c r="H16" s="242"/>
      <c r="I16" s="242"/>
      <c r="J16" s="243">
        <v>5477.85</v>
      </c>
      <c r="K16" s="244">
        <f t="shared" si="1"/>
        <v>6512547.0499999998</v>
      </c>
      <c r="L16" s="38">
        <v>583766.72</v>
      </c>
      <c r="M16" s="245"/>
      <c r="N16" s="38"/>
      <c r="O16" s="38">
        <f>6512547.05-583766.72</f>
        <v>5928780.3300000001</v>
      </c>
      <c r="P16" s="246"/>
      <c r="Q16" s="247"/>
      <c r="R16" s="247"/>
      <c r="S16" s="247"/>
      <c r="T16" s="247"/>
      <c r="U16" s="247"/>
      <c r="V16" s="227"/>
      <c r="W16" s="227"/>
    </row>
    <row r="17" spans="1:23" ht="15.75" x14ac:dyDescent="0.25">
      <c r="A17" s="227"/>
      <c r="B17" s="219">
        <v>4</v>
      </c>
      <c r="C17" s="456" t="s">
        <v>311</v>
      </c>
      <c r="D17" s="456"/>
      <c r="E17" s="456"/>
      <c r="F17" s="240">
        <f t="shared" si="0"/>
        <v>0</v>
      </c>
      <c r="G17" s="248"/>
      <c r="H17" s="242"/>
      <c r="I17" s="242"/>
      <c r="J17" s="243"/>
      <c r="K17" s="244">
        <f t="shared" si="1"/>
        <v>0</v>
      </c>
      <c r="L17" s="242"/>
      <c r="M17" s="245"/>
      <c r="N17" s="245"/>
      <c r="O17" s="245"/>
      <c r="P17" s="246"/>
      <c r="Q17" s="247"/>
      <c r="R17" s="247"/>
      <c r="S17" s="247"/>
      <c r="T17" s="247"/>
      <c r="U17" s="247"/>
      <c r="V17" s="227"/>
      <c r="W17" s="227"/>
    </row>
    <row r="18" spans="1:23" ht="15.75" x14ac:dyDescent="0.25">
      <c r="A18" s="227"/>
      <c r="B18" s="219">
        <v>5</v>
      </c>
      <c r="C18" s="456" t="s">
        <v>312</v>
      </c>
      <c r="D18" s="456"/>
      <c r="E18" s="456"/>
      <c r="F18" s="240">
        <f t="shared" si="0"/>
        <v>0</v>
      </c>
      <c r="G18" s="248"/>
      <c r="H18" s="389"/>
      <c r="I18" s="242"/>
      <c r="J18" s="243"/>
      <c r="K18" s="244">
        <f>SUM($M18:$U18, $L18)</f>
        <v>0</v>
      </c>
      <c r="L18" s="242"/>
      <c r="M18" s="245"/>
      <c r="N18" s="245"/>
      <c r="O18" s="245"/>
      <c r="P18" s="246"/>
      <c r="Q18" s="247"/>
      <c r="R18" s="247"/>
      <c r="S18" s="247"/>
      <c r="T18" s="247"/>
      <c r="U18" s="247"/>
      <c r="V18" s="227"/>
      <c r="W18" s="227"/>
    </row>
    <row r="19" spans="1:23" ht="15.75" x14ac:dyDescent="0.25">
      <c r="A19" s="227"/>
      <c r="B19" s="219">
        <v>6</v>
      </c>
      <c r="C19" s="452" t="s">
        <v>307</v>
      </c>
      <c r="D19" s="452"/>
      <c r="E19" s="452"/>
      <c r="F19" s="240">
        <f t="shared" si="0"/>
        <v>0</v>
      </c>
      <c r="G19" s="249"/>
      <c r="H19" s="250"/>
      <c r="I19" s="250"/>
      <c r="J19" s="251"/>
      <c r="K19" s="244">
        <f>SUM($M19:$U19, $L19)</f>
        <v>0</v>
      </c>
      <c r="L19" s="242"/>
      <c r="M19" s="245"/>
      <c r="N19" s="245"/>
      <c r="O19" s="245"/>
      <c r="P19" s="246"/>
      <c r="Q19" s="247"/>
      <c r="R19" s="247"/>
      <c r="S19" s="247"/>
      <c r="T19" s="247"/>
      <c r="U19" s="247"/>
      <c r="V19" s="227"/>
      <c r="W19" s="227"/>
    </row>
    <row r="20" spans="1:23" ht="15.75" x14ac:dyDescent="0.25">
      <c r="A20" s="229"/>
      <c r="B20" s="252">
        <v>7</v>
      </c>
      <c r="C20" s="465" t="s">
        <v>321</v>
      </c>
      <c r="D20" s="466"/>
      <c r="E20" s="467"/>
      <c r="F20" s="240">
        <f t="shared" si="0"/>
        <v>0</v>
      </c>
      <c r="G20" s="246"/>
      <c r="H20" s="247"/>
      <c r="I20" s="247"/>
      <c r="J20" s="240"/>
      <c r="K20" s="246">
        <f>SUM($M20:$U20, $L20)</f>
        <v>0</v>
      </c>
      <c r="L20" s="253"/>
      <c r="M20" s="242"/>
      <c r="N20" s="242"/>
      <c r="O20" s="242"/>
      <c r="P20" s="246"/>
      <c r="Q20" s="247"/>
      <c r="R20" s="247"/>
      <c r="S20" s="247"/>
      <c r="T20" s="247"/>
      <c r="U20" s="247"/>
      <c r="V20" s="229"/>
      <c r="W20" s="229"/>
    </row>
    <row r="21" spans="1:23" ht="15.75" x14ac:dyDescent="0.25">
      <c r="A21" s="229"/>
      <c r="B21" s="252">
        <v>8</v>
      </c>
      <c r="C21" s="465" t="s">
        <v>322</v>
      </c>
      <c r="D21" s="466"/>
      <c r="E21" s="467"/>
      <c r="F21" s="240">
        <f t="shared" si="0"/>
        <v>9738105</v>
      </c>
      <c r="G21" s="246"/>
      <c r="H21" s="247"/>
      <c r="I21" s="247"/>
      <c r="J21" s="240"/>
      <c r="K21" s="246">
        <f>SUM($M21:$U21, $L21)</f>
        <v>9738105</v>
      </c>
      <c r="L21" s="254"/>
      <c r="M21" s="242"/>
      <c r="N21" s="432"/>
      <c r="O21" s="432">
        <v>9738105</v>
      </c>
      <c r="P21" s="246"/>
      <c r="Q21" s="247"/>
      <c r="R21" s="247"/>
      <c r="S21" s="247"/>
      <c r="T21" s="247"/>
      <c r="U21" s="247"/>
      <c r="V21" s="229"/>
      <c r="W21" s="229"/>
    </row>
    <row r="22" spans="1:23" ht="15.75" x14ac:dyDescent="0.25">
      <c r="A22" s="229"/>
      <c r="B22" s="252">
        <v>9</v>
      </c>
      <c r="C22" s="465" t="s">
        <v>320</v>
      </c>
      <c r="D22" s="466"/>
      <c r="E22" s="467"/>
      <c r="F22" s="240">
        <f t="shared" si="0"/>
        <v>6157245</v>
      </c>
      <c r="G22" s="246"/>
      <c r="H22" s="247"/>
      <c r="I22" s="247"/>
      <c r="J22" s="240"/>
      <c r="K22" s="246">
        <f>SUM($M22:$U22, $L22)</f>
        <v>6157245</v>
      </c>
      <c r="L22" s="254"/>
      <c r="M22" s="242"/>
      <c r="N22" s="432"/>
      <c r="O22" s="432">
        <v>6157245</v>
      </c>
      <c r="P22" s="246"/>
      <c r="Q22" s="247"/>
      <c r="R22" s="247"/>
      <c r="S22" s="247"/>
      <c r="T22" s="247"/>
      <c r="U22" s="247"/>
      <c r="V22" s="229"/>
      <c r="W22" s="229"/>
    </row>
    <row r="23" spans="1:23" ht="15.75" x14ac:dyDescent="0.25">
      <c r="A23" s="227"/>
      <c r="B23" s="219">
        <v>10</v>
      </c>
      <c r="C23" s="452" t="s">
        <v>193</v>
      </c>
      <c r="D23" s="452"/>
      <c r="E23" s="452"/>
      <c r="F23" s="240">
        <f t="shared" si="0"/>
        <v>35108670.579999998</v>
      </c>
      <c r="G23" s="246">
        <f>SUM($H39:$H83)</f>
        <v>15599370.810000002</v>
      </c>
      <c r="H23" s="247">
        <f>SUM($I39:$I83)</f>
        <v>0</v>
      </c>
      <c r="I23" s="247">
        <f>SUM($J39:$J83)</f>
        <v>0</v>
      </c>
      <c r="J23" s="240">
        <f>SUM(K39:K83)</f>
        <v>411782.25000000006</v>
      </c>
      <c r="K23" s="246">
        <f t="shared" si="1"/>
        <v>19097517.52</v>
      </c>
      <c r="L23" s="247">
        <f>SUM($M39:$M83)</f>
        <v>0</v>
      </c>
      <c r="M23" s="250">
        <f>SUM(N39:N83)</f>
        <v>0</v>
      </c>
      <c r="N23" s="250">
        <f>SUM(O39:O83)</f>
        <v>14700462.199999999</v>
      </c>
      <c r="O23" s="250">
        <f>SUM(P39:P83)</f>
        <v>4397055.32</v>
      </c>
      <c r="P23" s="247">
        <f t="shared" ref="P23:U23" si="2">SUM(Q39:Q83)</f>
        <v>0</v>
      </c>
      <c r="Q23" s="247">
        <f t="shared" si="2"/>
        <v>0</v>
      </c>
      <c r="R23" s="247">
        <f t="shared" si="2"/>
        <v>0</v>
      </c>
      <c r="S23" s="247">
        <f t="shared" si="2"/>
        <v>0</v>
      </c>
      <c r="T23" s="247">
        <f t="shared" si="2"/>
        <v>0</v>
      </c>
      <c r="U23" s="247">
        <f t="shared" si="2"/>
        <v>0</v>
      </c>
      <c r="V23" s="227"/>
      <c r="W23" s="227"/>
    </row>
    <row r="24" spans="1:23" ht="30.95" customHeight="1" x14ac:dyDescent="0.25">
      <c r="A24" s="227"/>
      <c r="B24" s="219">
        <v>11</v>
      </c>
      <c r="C24" s="457" t="s">
        <v>316</v>
      </c>
      <c r="D24" s="457"/>
      <c r="E24" s="457"/>
      <c r="F24" s="240">
        <f>SUM(F14:F16,F18:F23)</f>
        <v>57522045.479999997</v>
      </c>
      <c r="G24" s="108">
        <f t="shared" ref="G24:U24" si="3">SUM(G14:G16,G18:G23)</f>
        <v>15599370.810000002</v>
      </c>
      <c r="H24" s="52">
        <f t="shared" si="3"/>
        <v>0</v>
      </c>
      <c r="I24" s="52">
        <f t="shared" si="3"/>
        <v>0</v>
      </c>
      <c r="J24" s="110">
        <f t="shared" si="3"/>
        <v>417260.10000000003</v>
      </c>
      <c r="K24" s="109">
        <f t="shared" si="3"/>
        <v>41505414.57</v>
      </c>
      <c r="L24" s="52">
        <f t="shared" si="3"/>
        <v>583766.72</v>
      </c>
      <c r="M24" s="52">
        <f t="shared" si="3"/>
        <v>0</v>
      </c>
      <c r="N24" s="52">
        <f t="shared" si="3"/>
        <v>14700462.199999999</v>
      </c>
      <c r="O24" s="52">
        <f t="shared" si="3"/>
        <v>26221185.649999999</v>
      </c>
      <c r="P24" s="52">
        <f t="shared" si="3"/>
        <v>0</v>
      </c>
      <c r="Q24" s="52">
        <f t="shared" si="3"/>
        <v>0</v>
      </c>
      <c r="R24" s="52">
        <f t="shared" si="3"/>
        <v>0</v>
      </c>
      <c r="S24" s="52">
        <f t="shared" si="3"/>
        <v>0</v>
      </c>
      <c r="T24" s="52">
        <f t="shared" si="3"/>
        <v>0</v>
      </c>
      <c r="U24" s="52">
        <f t="shared" si="3"/>
        <v>0</v>
      </c>
      <c r="V24" s="227"/>
      <c r="W24" s="227"/>
    </row>
    <row r="25" spans="1:23" ht="30.95" customHeight="1" x14ac:dyDescent="0.25">
      <c r="A25" s="227"/>
      <c r="B25" s="219">
        <v>12</v>
      </c>
      <c r="C25" s="453" t="s">
        <v>280</v>
      </c>
      <c r="D25" s="453"/>
      <c r="E25" s="453"/>
      <c r="F25" s="240"/>
      <c r="G25" s="108"/>
      <c r="H25" s="52"/>
      <c r="I25" s="52"/>
      <c r="J25" s="110"/>
      <c r="K25" s="109">
        <f>SUM(L25,M25:U25)</f>
        <v>87363544.590000004</v>
      </c>
      <c r="L25" s="52">
        <f>'2. Component Summary'!D27+'2. Component Summary'!D32</f>
        <v>583766.72</v>
      </c>
      <c r="M25" s="52">
        <f>'2. Component Summary'!D30+'2. Component Summary'!D31</f>
        <v>34500506.75</v>
      </c>
      <c r="N25" s="52">
        <f>'2. Component Summary'!D26</f>
        <v>26058085.469999999</v>
      </c>
      <c r="O25" s="52">
        <f>'2. Component Summary'!D25</f>
        <v>26221185.649999999</v>
      </c>
      <c r="P25" s="52">
        <f>'2. Component Summary'!D24</f>
        <v>0</v>
      </c>
      <c r="Q25" s="52">
        <f>'2. Component Summary'!D23</f>
        <v>0</v>
      </c>
      <c r="R25" s="52">
        <f>'2. Component Summary'!D22</f>
        <v>0</v>
      </c>
      <c r="S25" s="52">
        <f>'2. Component Summary'!D21</f>
        <v>0</v>
      </c>
      <c r="T25" s="52">
        <f>'2. Component Summary'!D20</f>
        <v>0</v>
      </c>
      <c r="U25" s="52">
        <f>'2. Component Summary'!D19</f>
        <v>0</v>
      </c>
      <c r="V25" s="227"/>
      <c r="W25" s="227"/>
    </row>
    <row r="26" spans="1:23" ht="15.75" x14ac:dyDescent="0.25">
      <c r="A26" s="227"/>
      <c r="B26" s="227"/>
      <c r="C26" s="227"/>
      <c r="D26" s="7"/>
      <c r="E26" s="7"/>
      <c r="F26" s="146"/>
      <c r="G26" s="229"/>
      <c r="H26" s="229"/>
      <c r="I26" s="229"/>
      <c r="J26" s="229"/>
      <c r="K26" s="229"/>
      <c r="L26" s="227"/>
      <c r="M26" s="227"/>
      <c r="N26" s="227"/>
      <c r="O26" s="227"/>
      <c r="P26" s="227"/>
      <c r="Q26" s="227"/>
      <c r="R26" s="227"/>
      <c r="S26" s="227"/>
      <c r="T26" s="227"/>
      <c r="U26" s="227"/>
      <c r="V26" s="227"/>
      <c r="W26" s="227"/>
    </row>
    <row r="27" spans="1:23" ht="18.75" thickBot="1" x14ac:dyDescent="0.3">
      <c r="A27" s="227"/>
      <c r="B27" s="399" t="s">
        <v>386</v>
      </c>
      <c r="C27" s="147"/>
      <c r="D27" s="141"/>
      <c r="E27" s="141"/>
      <c r="F27" s="148"/>
      <c r="G27" s="233"/>
      <c r="H27" s="233"/>
      <c r="I27" s="233"/>
      <c r="J27" s="233"/>
      <c r="K27" s="233"/>
      <c r="L27" s="231"/>
      <c r="M27" s="231"/>
      <c r="N27" s="231"/>
      <c r="O27" s="231"/>
      <c r="P27" s="231"/>
      <c r="Q27" s="231"/>
      <c r="R27" s="231"/>
      <c r="S27" s="231"/>
      <c r="T27" s="231"/>
      <c r="U27" s="231"/>
      <c r="W27" s="227"/>
    </row>
    <row r="28" spans="1:23" ht="16.5" thickTop="1" x14ac:dyDescent="0.25">
      <c r="A28" s="227"/>
      <c r="B28" s="274"/>
      <c r="C28" s="149"/>
      <c r="D28" s="7"/>
      <c r="E28" s="7"/>
      <c r="F28" s="146"/>
      <c r="G28" s="229"/>
      <c r="H28" s="229"/>
      <c r="I28" s="229"/>
      <c r="J28" s="229"/>
      <c r="K28" s="229"/>
      <c r="L28" s="227"/>
      <c r="M28" s="227"/>
      <c r="N28" s="227"/>
      <c r="O28" s="227"/>
      <c r="P28" s="227"/>
      <c r="Q28" s="227"/>
      <c r="R28" s="227"/>
      <c r="S28" s="227"/>
      <c r="T28" s="227"/>
      <c r="U28" s="227"/>
      <c r="V28" s="227"/>
      <c r="W28" s="227"/>
    </row>
    <row r="29" spans="1:23" ht="15.75" x14ac:dyDescent="0.25">
      <c r="A29" s="227"/>
      <c r="B29" s="149"/>
      <c r="C29" s="149"/>
      <c r="D29" s="7"/>
      <c r="E29" s="7"/>
      <c r="F29" s="150" t="s">
        <v>59</v>
      </c>
      <c r="G29" s="237" t="s">
        <v>61</v>
      </c>
      <c r="H29" s="229"/>
      <c r="I29" s="229"/>
      <c r="J29" s="229"/>
      <c r="K29" s="229"/>
      <c r="L29" s="227"/>
      <c r="M29" s="227"/>
      <c r="N29" s="227"/>
      <c r="O29" s="227"/>
      <c r="P29" s="227"/>
      <c r="Q29" s="227"/>
      <c r="R29" s="227"/>
      <c r="S29" s="227"/>
      <c r="T29" s="227"/>
      <c r="U29" s="227"/>
      <c r="V29" s="227"/>
      <c r="W29" s="227"/>
    </row>
    <row r="30" spans="1:23" ht="15.75" x14ac:dyDescent="0.25">
      <c r="A30" s="227"/>
      <c r="B30" s="219">
        <v>1</v>
      </c>
      <c r="C30" s="468" t="s">
        <v>276</v>
      </c>
      <c r="D30" s="468"/>
      <c r="E30" s="469"/>
      <c r="F30" s="255">
        <f>SUMIF($F$39:$F$83,"FSP",$L$39:$L$83)</f>
        <v>6315145.9200000009</v>
      </c>
      <c r="G30" s="151" t="s">
        <v>344</v>
      </c>
      <c r="H30" s="229"/>
      <c r="I30" s="229"/>
      <c r="J30" s="229"/>
      <c r="K30" s="229"/>
      <c r="L30" s="227"/>
      <c r="M30" s="227"/>
      <c r="N30" s="227"/>
      <c r="O30" s="227"/>
      <c r="P30" s="227"/>
      <c r="Q30" s="227"/>
      <c r="R30" s="227"/>
      <c r="S30" s="227"/>
      <c r="T30" s="227"/>
      <c r="U30" s="227"/>
      <c r="V30" s="227"/>
      <c r="W30" s="227"/>
    </row>
    <row r="31" spans="1:23" ht="30.75" customHeight="1" x14ac:dyDescent="0.25">
      <c r="A31" s="227"/>
      <c r="B31" s="219">
        <v>2</v>
      </c>
      <c r="C31" s="470" t="s">
        <v>340</v>
      </c>
      <c r="D31" s="470"/>
      <c r="E31" s="471"/>
      <c r="F31" s="255">
        <f>SUM(K14:K16,K18:K23)</f>
        <v>41505414.57</v>
      </c>
      <c r="G31" s="151" t="s">
        <v>343</v>
      </c>
      <c r="H31" s="229"/>
      <c r="I31" s="390"/>
      <c r="J31" s="229"/>
      <c r="K31" s="229"/>
      <c r="L31" s="227"/>
      <c r="M31" s="227"/>
      <c r="N31" s="227"/>
      <c r="O31" s="227"/>
      <c r="P31" s="227"/>
      <c r="Q31" s="227"/>
      <c r="R31" s="227"/>
      <c r="S31" s="227"/>
      <c r="T31" s="227"/>
      <c r="U31" s="227"/>
      <c r="V31" s="227"/>
      <c r="W31" s="227"/>
    </row>
    <row r="32" spans="1:23" ht="15.75" x14ac:dyDescent="0.25">
      <c r="A32" s="227"/>
      <c r="B32" s="219">
        <v>3</v>
      </c>
      <c r="C32" s="472" t="s">
        <v>178</v>
      </c>
      <c r="D32" s="472"/>
      <c r="E32" s="473"/>
      <c r="F32" s="256">
        <f>IF($K$24=0,"-",(F30)/(F31))</f>
        <v>0.15215233928935554</v>
      </c>
      <c r="G32" s="152" t="s">
        <v>363</v>
      </c>
      <c r="H32" s="396"/>
      <c r="I32" s="390"/>
      <c r="J32" s="229"/>
      <c r="K32" s="229"/>
      <c r="L32" s="227"/>
      <c r="M32" s="227"/>
      <c r="N32" s="227"/>
      <c r="O32" s="227"/>
      <c r="P32" s="227"/>
      <c r="Q32" s="227"/>
      <c r="R32" s="227"/>
      <c r="S32" s="227"/>
      <c r="T32" s="227"/>
      <c r="U32" s="227"/>
      <c r="V32" s="227"/>
      <c r="W32" s="227"/>
    </row>
    <row r="33" spans="1:23" ht="15.75" x14ac:dyDescent="0.25">
      <c r="A33" s="227"/>
      <c r="B33" s="227"/>
      <c r="C33" s="149"/>
      <c r="D33" s="7"/>
      <c r="E33" s="7"/>
      <c r="F33" s="153"/>
      <c r="G33" s="229"/>
      <c r="H33" s="229"/>
      <c r="I33" s="390"/>
      <c r="J33" s="229"/>
      <c r="K33" s="229"/>
      <c r="L33" s="227"/>
      <c r="M33" s="227"/>
      <c r="N33" s="227"/>
      <c r="O33" s="227"/>
      <c r="P33" s="227"/>
      <c r="Q33" s="227"/>
      <c r="R33" s="227"/>
      <c r="S33" s="227"/>
      <c r="T33" s="227"/>
      <c r="U33" s="227"/>
      <c r="V33" s="227"/>
      <c r="W33" s="227"/>
    </row>
    <row r="34" spans="1:23" ht="18.75" thickBot="1" x14ac:dyDescent="0.3">
      <c r="A34" s="227"/>
      <c r="B34" s="399" t="s">
        <v>387</v>
      </c>
      <c r="C34" s="147"/>
      <c r="D34" s="141"/>
      <c r="E34" s="141"/>
      <c r="F34" s="154"/>
      <c r="G34" s="233"/>
      <c r="H34" s="233"/>
      <c r="I34" s="233"/>
      <c r="J34" s="233"/>
      <c r="K34" s="233"/>
      <c r="L34" s="231"/>
      <c r="M34" s="231"/>
      <c r="N34" s="231"/>
      <c r="O34" s="231"/>
      <c r="P34" s="231"/>
      <c r="Q34" s="231"/>
      <c r="R34" s="231"/>
      <c r="S34" s="231"/>
      <c r="T34" s="231"/>
      <c r="U34" s="231"/>
      <c r="V34" s="231"/>
      <c r="W34" s="227"/>
    </row>
    <row r="35" spans="1:23" ht="16.5" thickTop="1" x14ac:dyDescent="0.25">
      <c r="A35" s="227"/>
      <c r="B35" s="274"/>
      <c r="C35" s="149"/>
      <c r="D35" s="7"/>
      <c r="E35" s="7"/>
      <c r="F35" s="153"/>
      <c r="G35" s="229"/>
      <c r="H35" s="229"/>
      <c r="I35" s="229"/>
      <c r="J35" s="229"/>
      <c r="K35" s="229"/>
      <c r="L35" s="227"/>
      <c r="M35" s="227"/>
      <c r="N35" s="227"/>
      <c r="O35" s="227"/>
      <c r="P35" s="227"/>
      <c r="Q35" s="227"/>
      <c r="R35" s="227"/>
      <c r="S35" s="227"/>
      <c r="T35" s="227"/>
      <c r="U35" s="227"/>
      <c r="V35" s="227"/>
      <c r="W35" s="227"/>
    </row>
    <row r="36" spans="1:23" ht="15.75" x14ac:dyDescent="0.25">
      <c r="A36" s="227"/>
      <c r="B36" s="149"/>
      <c r="C36" s="219" t="s">
        <v>59</v>
      </c>
      <c r="D36" s="73" t="s">
        <v>61</v>
      </c>
      <c r="E36" s="73" t="s">
        <v>65</v>
      </c>
      <c r="F36" s="155" t="s">
        <v>350</v>
      </c>
      <c r="G36" s="257" t="s">
        <v>351</v>
      </c>
      <c r="H36" s="258" t="s">
        <v>352</v>
      </c>
      <c r="I36" s="252" t="s">
        <v>361</v>
      </c>
      <c r="J36" s="252" t="s">
        <v>353</v>
      </c>
      <c r="K36" s="257" t="s">
        <v>354</v>
      </c>
      <c r="L36" s="259" t="s">
        <v>355</v>
      </c>
      <c r="M36" s="219" t="s">
        <v>356</v>
      </c>
      <c r="N36" s="219" t="s">
        <v>357</v>
      </c>
      <c r="O36" s="219" t="s">
        <v>358</v>
      </c>
      <c r="P36" s="219" t="s">
        <v>359</v>
      </c>
      <c r="Q36" s="219" t="s">
        <v>360</v>
      </c>
      <c r="R36" s="219" t="s">
        <v>362</v>
      </c>
      <c r="S36" s="219" t="s">
        <v>364</v>
      </c>
      <c r="T36" s="219" t="s">
        <v>365</v>
      </c>
      <c r="U36" s="219" t="s">
        <v>366</v>
      </c>
      <c r="V36" s="219" t="s">
        <v>367</v>
      </c>
      <c r="W36" s="260"/>
    </row>
    <row r="37" spans="1:23" ht="15.75" x14ac:dyDescent="0.25">
      <c r="A37" s="227"/>
      <c r="B37" s="14"/>
      <c r="C37" s="449" t="s">
        <v>221</v>
      </c>
      <c r="D37" s="449"/>
      <c r="E37" s="449"/>
      <c r="F37" s="449"/>
      <c r="G37" s="455"/>
      <c r="H37" s="460" t="s">
        <v>62</v>
      </c>
      <c r="I37" s="461"/>
      <c r="J37" s="461"/>
      <c r="K37" s="462"/>
      <c r="L37" s="463" t="s">
        <v>60</v>
      </c>
      <c r="M37" s="464"/>
      <c r="N37" s="464"/>
      <c r="O37" s="464"/>
      <c r="P37" s="464"/>
      <c r="Q37" s="464"/>
      <c r="R37" s="464"/>
      <c r="S37" s="464"/>
      <c r="T37" s="464"/>
      <c r="U37" s="464"/>
      <c r="V37" s="464"/>
      <c r="W37" s="75"/>
    </row>
    <row r="38" spans="1:23" ht="87.75" customHeight="1" x14ac:dyDescent="0.2">
      <c r="A38" s="227"/>
      <c r="B38" s="156" t="s">
        <v>177</v>
      </c>
      <c r="C38" s="157" t="s">
        <v>275</v>
      </c>
      <c r="D38" s="158" t="s">
        <v>19</v>
      </c>
      <c r="E38" s="158" t="s">
        <v>5</v>
      </c>
      <c r="F38" s="158" t="s">
        <v>18</v>
      </c>
      <c r="G38" s="159" t="s">
        <v>77</v>
      </c>
      <c r="H38" s="160" t="s">
        <v>7</v>
      </c>
      <c r="I38" s="158" t="s">
        <v>8</v>
      </c>
      <c r="J38" s="158" t="s">
        <v>9</v>
      </c>
      <c r="K38" s="161" t="s">
        <v>10</v>
      </c>
      <c r="L38" s="162" t="s">
        <v>278</v>
      </c>
      <c r="M38" s="158" t="s">
        <v>277</v>
      </c>
      <c r="N38" s="158" t="s">
        <v>184</v>
      </c>
      <c r="O38" s="158" t="s">
        <v>185</v>
      </c>
      <c r="P38" s="158" t="s">
        <v>186</v>
      </c>
      <c r="Q38" s="157" t="s">
        <v>187</v>
      </c>
      <c r="R38" s="157" t="s">
        <v>188</v>
      </c>
      <c r="S38" s="157" t="s">
        <v>189</v>
      </c>
      <c r="T38" s="157" t="s">
        <v>190</v>
      </c>
      <c r="U38" s="157" t="s">
        <v>191</v>
      </c>
      <c r="V38" s="157" t="s">
        <v>192</v>
      </c>
      <c r="W38" s="227"/>
    </row>
    <row r="39" spans="1:23" x14ac:dyDescent="0.2">
      <c r="A39" s="227"/>
      <c r="B39" s="261">
        <v>1</v>
      </c>
      <c r="C39" s="262">
        <f t="shared" ref="C39:C83" si="4">IF(AND(NOT(COUNTA(D39:F39)),(NOT(COUNTA(H39:K39))),(NOT(COUNTA(N39:V39)))),"",VLOOKUP($D$7,Info_County_Code,2,FALSE))</f>
        <v>10</v>
      </c>
      <c r="D39" s="437" t="s">
        <v>439</v>
      </c>
      <c r="E39" s="263"/>
      <c r="F39" s="264" t="s">
        <v>137</v>
      </c>
      <c r="G39" s="265">
        <f>SUM(H39:K39,L39)</f>
        <v>1535961.18</v>
      </c>
      <c r="H39" s="266">
        <v>649400.35</v>
      </c>
      <c r="I39" s="245"/>
      <c r="J39" s="245"/>
      <c r="K39" s="267"/>
      <c r="L39" s="244">
        <f t="shared" ref="L39:L83" si="5">SUM($N39:$V39)+$M39</f>
        <v>886560.83</v>
      </c>
      <c r="M39" s="245"/>
      <c r="N39" s="245"/>
      <c r="O39" s="245"/>
      <c r="P39" s="245">
        <v>886560.83</v>
      </c>
      <c r="Q39" s="246"/>
      <c r="R39" s="247"/>
      <c r="S39" s="247"/>
      <c r="T39" s="247"/>
      <c r="U39" s="247"/>
      <c r="V39" s="247"/>
      <c r="W39" s="227"/>
    </row>
    <row r="40" spans="1:23" x14ac:dyDescent="0.2">
      <c r="A40" s="227"/>
      <c r="B40" s="261">
        <v>2</v>
      </c>
      <c r="C40" s="262">
        <f t="shared" si="4"/>
        <v>10</v>
      </c>
      <c r="D40" s="437" t="s">
        <v>481</v>
      </c>
      <c r="E40" s="263"/>
      <c r="F40" s="441" t="s">
        <v>137</v>
      </c>
      <c r="G40" s="265">
        <f t="shared" ref="G40:G83" si="6">SUM(H40:K40,L40)</f>
        <v>1229428.19</v>
      </c>
      <c r="H40" s="266">
        <v>1074498.7</v>
      </c>
      <c r="I40" s="245"/>
      <c r="J40" s="245"/>
      <c r="K40" s="267">
        <v>300572.75</v>
      </c>
      <c r="L40" s="244">
        <f t="shared" si="5"/>
        <v>-145643.26</v>
      </c>
      <c r="M40" s="245"/>
      <c r="N40" s="245"/>
      <c r="O40" s="245"/>
      <c r="P40" s="245">
        <v>-145643.26</v>
      </c>
      <c r="Q40" s="246"/>
      <c r="R40" s="247"/>
      <c r="S40" s="247"/>
      <c r="T40" s="247"/>
      <c r="U40" s="247"/>
      <c r="V40" s="247"/>
      <c r="W40" s="227"/>
    </row>
    <row r="41" spans="1:23" x14ac:dyDescent="0.2">
      <c r="A41" s="227"/>
      <c r="B41" s="261">
        <v>3</v>
      </c>
      <c r="C41" s="262">
        <f t="shared" si="4"/>
        <v>10</v>
      </c>
      <c r="D41" s="437" t="s">
        <v>446</v>
      </c>
      <c r="E41" s="263"/>
      <c r="F41" s="441" t="s">
        <v>137</v>
      </c>
      <c r="G41" s="265">
        <f t="shared" si="6"/>
        <v>1991942.9500000002</v>
      </c>
      <c r="H41" s="266">
        <v>898613.13</v>
      </c>
      <c r="I41" s="245"/>
      <c r="J41" s="245"/>
      <c r="K41" s="267">
        <v>450</v>
      </c>
      <c r="L41" s="244">
        <f t="shared" si="5"/>
        <v>1092879.82</v>
      </c>
      <c r="M41" s="245"/>
      <c r="N41" s="245"/>
      <c r="O41" s="245"/>
      <c r="P41" s="245">
        <v>1092879.82</v>
      </c>
      <c r="Q41" s="246"/>
      <c r="R41" s="247"/>
      <c r="S41" s="247"/>
      <c r="T41" s="247"/>
      <c r="U41" s="247"/>
      <c r="V41" s="247"/>
      <c r="W41" s="227"/>
    </row>
    <row r="42" spans="1:23" x14ac:dyDescent="0.2">
      <c r="A42" s="227"/>
      <c r="B42" s="261">
        <v>4</v>
      </c>
      <c r="C42" s="262">
        <f t="shared" si="4"/>
        <v>10</v>
      </c>
      <c r="D42" s="437" t="s">
        <v>482</v>
      </c>
      <c r="E42" s="263"/>
      <c r="F42" s="441" t="s">
        <v>137</v>
      </c>
      <c r="G42" s="265">
        <f t="shared" si="6"/>
        <v>939135.33000000007</v>
      </c>
      <c r="H42" s="266">
        <v>500439.79</v>
      </c>
      <c r="I42" s="245"/>
      <c r="J42" s="245"/>
      <c r="K42" s="267">
        <v>14876.15</v>
      </c>
      <c r="L42" s="244">
        <f t="shared" si="5"/>
        <v>423819.39</v>
      </c>
      <c r="M42" s="245"/>
      <c r="N42" s="245"/>
      <c r="O42" s="245"/>
      <c r="P42" s="245">
        <v>423819.39</v>
      </c>
      <c r="Q42" s="246"/>
      <c r="R42" s="247"/>
      <c r="S42" s="247"/>
      <c r="T42" s="247"/>
      <c r="U42" s="247"/>
      <c r="V42" s="247"/>
      <c r="W42" s="227"/>
    </row>
    <row r="43" spans="1:23" x14ac:dyDescent="0.2">
      <c r="A43" s="227"/>
      <c r="B43" s="261">
        <v>5</v>
      </c>
      <c r="C43" s="262">
        <f t="shared" si="4"/>
        <v>10</v>
      </c>
      <c r="D43" s="437" t="s">
        <v>441</v>
      </c>
      <c r="E43" s="263"/>
      <c r="F43" s="441" t="s">
        <v>137</v>
      </c>
      <c r="G43" s="265">
        <f t="shared" si="6"/>
        <v>0</v>
      </c>
      <c r="H43" s="266">
        <v>-77.12</v>
      </c>
      <c r="I43" s="245"/>
      <c r="J43" s="245"/>
      <c r="K43" s="267"/>
      <c r="L43" s="244">
        <f t="shared" si="5"/>
        <v>77.12</v>
      </c>
      <c r="M43" s="245"/>
      <c r="N43" s="245"/>
      <c r="O43" s="245"/>
      <c r="P43" s="245">
        <v>77.12</v>
      </c>
      <c r="Q43" s="246"/>
      <c r="R43" s="247"/>
      <c r="S43" s="247"/>
      <c r="T43" s="247"/>
      <c r="U43" s="247"/>
      <c r="V43" s="247"/>
      <c r="W43" s="227"/>
    </row>
    <row r="44" spans="1:23" x14ac:dyDescent="0.2">
      <c r="A44" s="227"/>
      <c r="B44" s="261">
        <v>6</v>
      </c>
      <c r="C44" s="262">
        <f t="shared" si="4"/>
        <v>10</v>
      </c>
      <c r="D44" s="437" t="s">
        <v>444</v>
      </c>
      <c r="E44" s="263"/>
      <c r="F44" s="441" t="s">
        <v>137</v>
      </c>
      <c r="G44" s="265">
        <f t="shared" si="6"/>
        <v>3035723.41</v>
      </c>
      <c r="H44" s="266">
        <v>1122596.08</v>
      </c>
      <c r="I44" s="245"/>
      <c r="J44" s="245"/>
      <c r="K44" s="267"/>
      <c r="L44" s="244">
        <f t="shared" si="5"/>
        <v>1913127.33</v>
      </c>
      <c r="M44" s="245"/>
      <c r="N44" s="245"/>
      <c r="O44" s="245"/>
      <c r="P44" s="245">
        <v>1913127.33</v>
      </c>
      <c r="Q44" s="246"/>
      <c r="R44" s="247"/>
      <c r="S44" s="247"/>
      <c r="T44" s="247"/>
      <c r="U44" s="247"/>
      <c r="V44" s="247"/>
      <c r="W44" s="227"/>
    </row>
    <row r="45" spans="1:23" x14ac:dyDescent="0.2">
      <c r="A45" s="227"/>
      <c r="B45" s="261">
        <v>7</v>
      </c>
      <c r="C45" s="262">
        <f t="shared" si="4"/>
        <v>10</v>
      </c>
      <c r="D45" s="432" t="s">
        <v>447</v>
      </c>
      <c r="E45" s="242"/>
      <c r="F45" s="441" t="s">
        <v>137</v>
      </c>
      <c r="G45" s="265">
        <f t="shared" si="6"/>
        <v>2194673.0100000002</v>
      </c>
      <c r="H45" s="266">
        <v>1397642.36</v>
      </c>
      <c r="I45" s="245"/>
      <c r="J45" s="245"/>
      <c r="K45" s="267">
        <v>230</v>
      </c>
      <c r="L45" s="244">
        <f t="shared" si="5"/>
        <v>796800.65</v>
      </c>
      <c r="M45" s="245"/>
      <c r="N45" s="245"/>
      <c r="O45" s="245">
        <f>796800.65-226234.09</f>
        <v>570566.56000000006</v>
      </c>
      <c r="P45" s="245">
        <v>226234.09</v>
      </c>
      <c r="Q45" s="246"/>
      <c r="R45" s="247"/>
      <c r="S45" s="247"/>
      <c r="T45" s="247"/>
      <c r="U45" s="247"/>
      <c r="V45" s="247"/>
      <c r="W45" s="227"/>
    </row>
    <row r="46" spans="1:23" x14ac:dyDescent="0.2">
      <c r="A46" s="227"/>
      <c r="B46" s="261">
        <v>8</v>
      </c>
      <c r="C46" s="262">
        <f t="shared" si="4"/>
        <v>10</v>
      </c>
      <c r="D46" s="436" t="s">
        <v>445</v>
      </c>
      <c r="E46" s="226"/>
      <c r="F46" s="441" t="s">
        <v>137</v>
      </c>
      <c r="G46" s="265">
        <f t="shared" si="6"/>
        <v>3196984.2</v>
      </c>
      <c r="H46" s="266">
        <v>1847534.64</v>
      </c>
      <c r="I46" s="245"/>
      <c r="J46" s="245"/>
      <c r="K46" s="267">
        <v>1925.52</v>
      </c>
      <c r="L46" s="244">
        <f t="shared" si="5"/>
        <v>1347524.04</v>
      </c>
      <c r="M46" s="245"/>
      <c r="N46" s="245"/>
      <c r="O46" s="245">
        <v>1347524.04</v>
      </c>
      <c r="P46" s="245"/>
      <c r="Q46" s="246"/>
      <c r="R46" s="247"/>
      <c r="S46" s="247"/>
      <c r="T46" s="247"/>
      <c r="U46" s="247"/>
      <c r="V46" s="247"/>
      <c r="W46" s="227"/>
    </row>
    <row r="47" spans="1:23" x14ac:dyDescent="0.2">
      <c r="A47" s="227"/>
      <c r="B47" s="261">
        <v>9</v>
      </c>
      <c r="C47" s="262">
        <f t="shared" si="4"/>
        <v>10</v>
      </c>
      <c r="D47" s="436" t="s">
        <v>437</v>
      </c>
      <c r="E47" s="226"/>
      <c r="F47" s="441" t="s">
        <v>138</v>
      </c>
      <c r="G47" s="265">
        <f t="shared" si="6"/>
        <v>8057.39</v>
      </c>
      <c r="H47" s="266"/>
      <c r="I47" s="245"/>
      <c r="J47" s="245"/>
      <c r="K47" s="267"/>
      <c r="L47" s="244">
        <f t="shared" si="5"/>
        <v>8057.39</v>
      </c>
      <c r="M47" s="245"/>
      <c r="N47" s="245"/>
      <c r="O47" s="245">
        <v>8057.39</v>
      </c>
      <c r="P47" s="245"/>
      <c r="Q47" s="246"/>
      <c r="R47" s="247"/>
      <c r="S47" s="247"/>
      <c r="T47" s="247"/>
      <c r="U47" s="247"/>
      <c r="V47" s="247"/>
      <c r="W47" s="227"/>
    </row>
    <row r="48" spans="1:23" x14ac:dyDescent="0.2">
      <c r="A48" s="227"/>
      <c r="B48" s="261">
        <v>10</v>
      </c>
      <c r="C48" s="262">
        <f t="shared" si="4"/>
        <v>10</v>
      </c>
      <c r="D48" s="436" t="s">
        <v>483</v>
      </c>
      <c r="E48" s="226"/>
      <c r="F48" s="441" t="s">
        <v>138</v>
      </c>
      <c r="G48" s="265">
        <f t="shared" si="6"/>
        <v>274909.98</v>
      </c>
      <c r="H48" s="266">
        <v>2399.5700000000002</v>
      </c>
      <c r="I48" s="245"/>
      <c r="J48" s="245"/>
      <c r="K48" s="267"/>
      <c r="L48" s="244">
        <f t="shared" si="5"/>
        <v>272510.40999999997</v>
      </c>
      <c r="M48" s="245"/>
      <c r="N48" s="245"/>
      <c r="O48" s="245">
        <v>272510.40999999997</v>
      </c>
      <c r="P48" s="245"/>
      <c r="Q48" s="246"/>
      <c r="R48" s="247"/>
      <c r="S48" s="247"/>
      <c r="T48" s="247"/>
      <c r="U48" s="247"/>
      <c r="V48" s="247"/>
      <c r="W48" s="227"/>
    </row>
    <row r="49" spans="1:23" x14ac:dyDescent="0.2">
      <c r="A49" s="227"/>
      <c r="B49" s="261">
        <v>11</v>
      </c>
      <c r="C49" s="262">
        <f t="shared" si="4"/>
        <v>10</v>
      </c>
      <c r="D49" s="436" t="s">
        <v>484</v>
      </c>
      <c r="E49" s="226"/>
      <c r="F49" s="441" t="s">
        <v>138</v>
      </c>
      <c r="G49" s="265">
        <f t="shared" si="6"/>
        <v>24855.67</v>
      </c>
      <c r="H49" s="266"/>
      <c r="I49" s="245"/>
      <c r="J49" s="245"/>
      <c r="K49" s="267"/>
      <c r="L49" s="244">
        <f t="shared" si="5"/>
        <v>24855.67</v>
      </c>
      <c r="M49" s="245"/>
      <c r="N49" s="245"/>
      <c r="O49" s="245">
        <v>24855.67</v>
      </c>
      <c r="P49" s="245"/>
      <c r="Q49" s="246"/>
      <c r="R49" s="247"/>
      <c r="S49" s="247"/>
      <c r="T49" s="247"/>
      <c r="U49" s="247"/>
      <c r="V49" s="247"/>
      <c r="W49" s="227"/>
    </row>
    <row r="50" spans="1:23" x14ac:dyDescent="0.2">
      <c r="A50" s="227"/>
      <c r="B50" s="261">
        <v>12</v>
      </c>
      <c r="C50" s="262">
        <f t="shared" si="4"/>
        <v>10</v>
      </c>
      <c r="D50" s="443" t="s">
        <v>488</v>
      </c>
      <c r="E50" s="226"/>
      <c r="F50" s="441" t="s">
        <v>138</v>
      </c>
      <c r="G50" s="265">
        <f t="shared" si="6"/>
        <v>636935.46</v>
      </c>
      <c r="H50" s="266">
        <v>99091.21</v>
      </c>
      <c r="I50" s="245"/>
      <c r="J50" s="245"/>
      <c r="K50" s="267">
        <v>253.36</v>
      </c>
      <c r="L50" s="244">
        <f t="shared" si="5"/>
        <v>537590.89</v>
      </c>
      <c r="M50" s="245"/>
      <c r="N50" s="245"/>
      <c r="O50" s="245">
        <v>537590.89</v>
      </c>
      <c r="P50" s="245"/>
      <c r="Q50" s="246"/>
      <c r="R50" s="247"/>
      <c r="S50" s="247"/>
      <c r="T50" s="247"/>
      <c r="U50" s="247"/>
      <c r="V50" s="247"/>
      <c r="W50" s="227"/>
    </row>
    <row r="51" spans="1:23" x14ac:dyDescent="0.2">
      <c r="A51" s="227"/>
      <c r="B51" s="261">
        <v>13</v>
      </c>
      <c r="C51" s="262">
        <f t="shared" si="4"/>
        <v>10</v>
      </c>
      <c r="D51" s="436" t="s">
        <v>440</v>
      </c>
      <c r="E51" s="226"/>
      <c r="F51" s="441" t="s">
        <v>138</v>
      </c>
      <c r="G51" s="265">
        <f t="shared" si="6"/>
        <v>732446.14</v>
      </c>
      <c r="H51" s="266">
        <v>195483.8</v>
      </c>
      <c r="I51" s="245"/>
      <c r="J51" s="245"/>
      <c r="K51" s="267">
        <v>686.98</v>
      </c>
      <c r="L51" s="244">
        <f t="shared" si="5"/>
        <v>536275.36</v>
      </c>
      <c r="M51" s="245"/>
      <c r="N51" s="245"/>
      <c r="O51" s="245">
        <v>536275.36</v>
      </c>
      <c r="P51" s="245"/>
      <c r="Q51" s="246"/>
      <c r="R51" s="247"/>
      <c r="S51" s="247"/>
      <c r="T51" s="247"/>
      <c r="U51" s="247"/>
      <c r="V51" s="247"/>
      <c r="W51" s="227"/>
    </row>
    <row r="52" spans="1:23" x14ac:dyDescent="0.2">
      <c r="A52" s="227"/>
      <c r="B52" s="261">
        <v>14</v>
      </c>
      <c r="C52" s="262">
        <f t="shared" si="4"/>
        <v>10</v>
      </c>
      <c r="D52" s="436" t="s">
        <v>448</v>
      </c>
      <c r="E52" s="226"/>
      <c r="F52" s="441" t="s">
        <v>138</v>
      </c>
      <c r="G52" s="265">
        <f t="shared" si="6"/>
        <v>1132.4000000000001</v>
      </c>
      <c r="H52" s="266"/>
      <c r="I52" s="245"/>
      <c r="J52" s="245"/>
      <c r="K52" s="267"/>
      <c r="L52" s="244">
        <f t="shared" si="5"/>
        <v>1132.4000000000001</v>
      </c>
      <c r="M52" s="245"/>
      <c r="N52" s="245"/>
      <c r="O52" s="245">
        <v>1132.4000000000001</v>
      </c>
      <c r="P52" s="245"/>
      <c r="Q52" s="246"/>
      <c r="R52" s="247"/>
      <c r="S52" s="247"/>
      <c r="T52" s="247"/>
      <c r="U52" s="247"/>
      <c r="V52" s="247"/>
      <c r="W52" s="227"/>
    </row>
    <row r="53" spans="1:23" x14ac:dyDescent="0.2">
      <c r="A53" s="227"/>
      <c r="B53" s="261">
        <v>15</v>
      </c>
      <c r="C53" s="262">
        <f t="shared" si="4"/>
        <v>10</v>
      </c>
      <c r="D53" s="436" t="s">
        <v>449</v>
      </c>
      <c r="E53" s="226"/>
      <c r="F53" s="441" t="s">
        <v>138</v>
      </c>
      <c r="G53" s="265">
        <f t="shared" si="6"/>
        <v>8041.45</v>
      </c>
      <c r="H53" s="266"/>
      <c r="I53" s="245"/>
      <c r="J53" s="245"/>
      <c r="K53" s="267"/>
      <c r="L53" s="244">
        <f t="shared" si="5"/>
        <v>8041.45</v>
      </c>
      <c r="M53" s="245"/>
      <c r="N53" s="245"/>
      <c r="O53" s="245">
        <v>8041.45</v>
      </c>
      <c r="P53" s="245"/>
      <c r="Q53" s="246"/>
      <c r="R53" s="247"/>
      <c r="S53" s="247"/>
      <c r="T53" s="247"/>
      <c r="U53" s="247"/>
      <c r="V53" s="247"/>
      <c r="W53" s="227"/>
    </row>
    <row r="54" spans="1:23" x14ac:dyDescent="0.2">
      <c r="A54" s="227"/>
      <c r="B54" s="261">
        <v>16</v>
      </c>
      <c r="C54" s="262">
        <f t="shared" si="4"/>
        <v>10</v>
      </c>
      <c r="D54" s="436" t="s">
        <v>450</v>
      </c>
      <c r="E54" s="226"/>
      <c r="F54" s="441" t="s">
        <v>138</v>
      </c>
      <c r="G54" s="265">
        <f t="shared" si="6"/>
        <v>617463.47</v>
      </c>
      <c r="H54" s="266">
        <v>333765.03999999998</v>
      </c>
      <c r="I54" s="245"/>
      <c r="J54" s="245"/>
      <c r="K54" s="267">
        <v>1730.32</v>
      </c>
      <c r="L54" s="244">
        <f t="shared" si="5"/>
        <v>281968.11</v>
      </c>
      <c r="M54" s="245"/>
      <c r="N54" s="245"/>
      <c r="O54" s="245">
        <v>281968.11</v>
      </c>
      <c r="P54" s="245"/>
      <c r="Q54" s="246"/>
      <c r="R54" s="247"/>
      <c r="S54" s="247"/>
      <c r="T54" s="247"/>
      <c r="U54" s="247"/>
      <c r="V54" s="247"/>
      <c r="W54" s="227"/>
    </row>
    <row r="55" spans="1:23" x14ac:dyDescent="0.2">
      <c r="A55" s="227"/>
      <c r="B55" s="261">
        <v>17</v>
      </c>
      <c r="C55" s="262">
        <f t="shared" si="4"/>
        <v>10</v>
      </c>
      <c r="D55" s="436" t="s">
        <v>485</v>
      </c>
      <c r="E55" s="226"/>
      <c r="F55" s="441" t="s">
        <v>138</v>
      </c>
      <c r="G55" s="265">
        <f t="shared" si="6"/>
        <v>299231</v>
      </c>
      <c r="H55" s="266"/>
      <c r="I55" s="245"/>
      <c r="J55" s="245"/>
      <c r="K55" s="267"/>
      <c r="L55" s="244">
        <f t="shared" si="5"/>
        <v>299231</v>
      </c>
      <c r="M55" s="245"/>
      <c r="N55" s="245"/>
      <c r="O55" s="245">
        <v>299231</v>
      </c>
      <c r="P55" s="245"/>
      <c r="Q55" s="246"/>
      <c r="R55" s="247"/>
      <c r="S55" s="247"/>
      <c r="T55" s="247"/>
      <c r="U55" s="247"/>
      <c r="V55" s="247"/>
      <c r="W55" s="227"/>
    </row>
    <row r="56" spans="1:23" x14ac:dyDescent="0.2">
      <c r="A56" s="227"/>
      <c r="B56" s="261">
        <v>18</v>
      </c>
      <c r="C56" s="262">
        <f t="shared" si="4"/>
        <v>10</v>
      </c>
      <c r="D56" s="443" t="s">
        <v>451</v>
      </c>
      <c r="E56" s="226"/>
      <c r="F56" s="441" t="s">
        <v>138</v>
      </c>
      <c r="G56" s="265">
        <f t="shared" si="6"/>
        <v>547551.47</v>
      </c>
      <c r="H56" s="442"/>
      <c r="I56" s="245"/>
      <c r="J56" s="245"/>
      <c r="K56" s="442"/>
      <c r="L56" s="244">
        <f t="shared" si="5"/>
        <v>547551.47</v>
      </c>
      <c r="M56" s="245"/>
      <c r="N56" s="245"/>
      <c r="O56" s="245">
        <v>547551.47</v>
      </c>
      <c r="P56" s="245"/>
      <c r="Q56" s="246"/>
      <c r="R56" s="247"/>
      <c r="S56" s="247"/>
      <c r="T56" s="247"/>
      <c r="U56" s="247"/>
      <c r="V56" s="247"/>
      <c r="W56" s="227"/>
    </row>
    <row r="57" spans="1:23" x14ac:dyDescent="0.2">
      <c r="A57" s="227"/>
      <c r="B57" s="261">
        <v>19</v>
      </c>
      <c r="C57" s="262">
        <f t="shared" si="4"/>
        <v>10</v>
      </c>
      <c r="D57" s="436" t="s">
        <v>489</v>
      </c>
      <c r="E57" s="226"/>
      <c r="F57" s="441" t="s">
        <v>138</v>
      </c>
      <c r="G57" s="265">
        <f t="shared" si="6"/>
        <v>3248743.92</v>
      </c>
      <c r="H57" s="266">
        <v>1791555.53</v>
      </c>
      <c r="I57" s="245"/>
      <c r="J57" s="245"/>
      <c r="K57" s="267">
        <v>45158.25</v>
      </c>
      <c r="L57" s="244">
        <f t="shared" si="5"/>
        <v>1412030.14</v>
      </c>
      <c r="M57" s="245"/>
      <c r="N57" s="245"/>
      <c r="O57" s="245">
        <v>1412030.14</v>
      </c>
      <c r="P57" s="245"/>
      <c r="Q57" s="246"/>
      <c r="R57" s="247"/>
      <c r="S57" s="247"/>
      <c r="T57" s="247"/>
      <c r="U57" s="247"/>
      <c r="V57" s="247"/>
      <c r="W57" s="227"/>
    </row>
    <row r="58" spans="1:23" x14ac:dyDescent="0.2">
      <c r="A58" s="227"/>
      <c r="B58" s="261">
        <v>20</v>
      </c>
      <c r="C58" s="262">
        <f t="shared" si="4"/>
        <v>10</v>
      </c>
      <c r="D58" s="436" t="s">
        <v>486</v>
      </c>
      <c r="E58" s="226"/>
      <c r="F58" s="441" t="s">
        <v>138</v>
      </c>
      <c r="G58" s="265">
        <f t="shared" si="6"/>
        <v>1240423.75</v>
      </c>
      <c r="H58" s="266">
        <v>653208.88</v>
      </c>
      <c r="I58" s="245"/>
      <c r="J58" s="245"/>
      <c r="K58" s="267">
        <v>5267.53</v>
      </c>
      <c r="L58" s="244">
        <f t="shared" si="5"/>
        <v>581947.34</v>
      </c>
      <c r="M58" s="245"/>
      <c r="N58" s="245"/>
      <c r="O58" s="245">
        <f>581947.34</f>
        <v>581947.34</v>
      </c>
      <c r="P58" s="245"/>
      <c r="Q58" s="246"/>
      <c r="R58" s="247"/>
      <c r="S58" s="247"/>
      <c r="T58" s="247"/>
      <c r="U58" s="247"/>
      <c r="V58" s="247"/>
      <c r="W58" s="227"/>
    </row>
    <row r="59" spans="1:23" x14ac:dyDescent="0.2">
      <c r="A59" s="227"/>
      <c r="B59" s="261">
        <v>21</v>
      </c>
      <c r="C59" s="262">
        <f t="shared" si="4"/>
        <v>10</v>
      </c>
      <c r="D59" s="436" t="s">
        <v>487</v>
      </c>
      <c r="E59" s="226"/>
      <c r="F59" s="441" t="s">
        <v>138</v>
      </c>
      <c r="G59" s="265">
        <f t="shared" si="6"/>
        <v>7595.47</v>
      </c>
      <c r="H59" s="266"/>
      <c r="I59" s="245"/>
      <c r="J59" s="245"/>
      <c r="K59" s="267"/>
      <c r="L59" s="244">
        <f t="shared" si="5"/>
        <v>7595.47</v>
      </c>
      <c r="M59" s="245"/>
      <c r="N59" s="245"/>
      <c r="O59" s="245">
        <v>7595.47</v>
      </c>
      <c r="P59" s="245"/>
      <c r="Q59" s="246"/>
      <c r="R59" s="247"/>
      <c r="S59" s="247"/>
      <c r="T59" s="247"/>
      <c r="U59" s="247"/>
      <c r="V59" s="247"/>
      <c r="W59" s="227"/>
    </row>
    <row r="60" spans="1:23" x14ac:dyDescent="0.2">
      <c r="A60" s="227"/>
      <c r="B60" s="261">
        <v>22</v>
      </c>
      <c r="C60" s="262">
        <f t="shared" si="4"/>
        <v>10</v>
      </c>
      <c r="D60" s="436" t="s">
        <v>442</v>
      </c>
      <c r="E60" s="226"/>
      <c r="F60" s="441" t="s">
        <v>138</v>
      </c>
      <c r="G60" s="265">
        <f t="shared" si="6"/>
        <v>1274561.8599999999</v>
      </c>
      <c r="H60" s="266">
        <v>856691.71</v>
      </c>
      <c r="I60" s="245"/>
      <c r="J60" s="245"/>
      <c r="K60" s="267">
        <v>86.09</v>
      </c>
      <c r="L60" s="244">
        <f t="shared" si="5"/>
        <v>417784.06</v>
      </c>
      <c r="M60" s="245"/>
      <c r="N60" s="245"/>
      <c r="O60" s="245">
        <v>417784.06</v>
      </c>
      <c r="P60" s="245"/>
      <c r="Q60" s="246"/>
      <c r="R60" s="247"/>
      <c r="S60" s="247"/>
      <c r="T60" s="247"/>
      <c r="U60" s="247"/>
      <c r="V60" s="247"/>
      <c r="W60" s="227"/>
    </row>
    <row r="61" spans="1:23" x14ac:dyDescent="0.2">
      <c r="A61" s="227"/>
      <c r="B61" s="261">
        <v>23</v>
      </c>
      <c r="C61" s="262">
        <f t="shared" si="4"/>
        <v>10</v>
      </c>
      <c r="D61" s="436" t="s">
        <v>443</v>
      </c>
      <c r="E61" s="226"/>
      <c r="F61" s="441" t="s">
        <v>138</v>
      </c>
      <c r="G61" s="265">
        <f t="shared" si="6"/>
        <v>421852.74</v>
      </c>
      <c r="H61" s="266"/>
      <c r="I61" s="245"/>
      <c r="J61" s="245"/>
      <c r="K61" s="267"/>
      <c r="L61" s="244">
        <f t="shared" si="5"/>
        <v>421852.74</v>
      </c>
      <c r="M61" s="245"/>
      <c r="N61" s="245"/>
      <c r="O61" s="245">
        <v>421852.74</v>
      </c>
      <c r="P61" s="245"/>
      <c r="Q61" s="246"/>
      <c r="R61" s="247"/>
      <c r="S61" s="247"/>
      <c r="T61" s="247"/>
      <c r="U61" s="247"/>
      <c r="V61" s="247"/>
      <c r="W61" s="227"/>
    </row>
    <row r="62" spans="1:23" x14ac:dyDescent="0.2">
      <c r="A62" s="227"/>
      <c r="B62" s="261">
        <v>24</v>
      </c>
      <c r="C62" s="262">
        <f t="shared" si="4"/>
        <v>10</v>
      </c>
      <c r="D62" s="436" t="s">
        <v>452</v>
      </c>
      <c r="E62" s="226"/>
      <c r="F62" s="441" t="s">
        <v>138</v>
      </c>
      <c r="G62" s="265">
        <f t="shared" si="6"/>
        <v>1533437.23</v>
      </c>
      <c r="H62" s="266">
        <v>1014357.07</v>
      </c>
      <c r="I62" s="245"/>
      <c r="J62" s="245"/>
      <c r="K62" s="267">
        <v>8445.2900000000009</v>
      </c>
      <c r="L62" s="244">
        <f t="shared" si="5"/>
        <v>510634.87</v>
      </c>
      <c r="M62" s="245"/>
      <c r="N62" s="245"/>
      <c r="O62" s="245">
        <v>510634.87</v>
      </c>
      <c r="P62" s="245"/>
      <c r="Q62" s="246"/>
      <c r="R62" s="247"/>
      <c r="S62" s="247"/>
      <c r="T62" s="247"/>
      <c r="U62" s="247"/>
      <c r="V62" s="247"/>
      <c r="W62" s="227"/>
    </row>
    <row r="63" spans="1:23" x14ac:dyDescent="0.2">
      <c r="A63" s="227"/>
      <c r="B63" s="261">
        <v>25</v>
      </c>
      <c r="C63" s="262">
        <f>IF(AND(NOT(COUNTA(D63:F63)),(NOT(COUNTA(H63:K63))),(NOT(COUNTA(N63:V63)))),"",VLOOKUP($D$7,Info_County_Code,2,FALSE))</f>
        <v>10</v>
      </c>
      <c r="D63" s="436" t="s">
        <v>453</v>
      </c>
      <c r="E63" s="226"/>
      <c r="F63" s="441" t="s">
        <v>138</v>
      </c>
      <c r="G63" s="265">
        <f t="shared" si="6"/>
        <v>5606058.2700000005</v>
      </c>
      <c r="H63" s="266">
        <v>1696715.98</v>
      </c>
      <c r="I63" s="245"/>
      <c r="J63" s="245"/>
      <c r="K63" s="267">
        <v>12694.07</v>
      </c>
      <c r="L63" s="244">
        <f t="shared" si="5"/>
        <v>3896648.22</v>
      </c>
      <c r="M63" s="245"/>
      <c r="N63" s="245"/>
      <c r="O63" s="245">
        <f>3896648.22</f>
        <v>3896648.22</v>
      </c>
      <c r="P63" s="245"/>
      <c r="Q63" s="246"/>
      <c r="R63" s="247"/>
      <c r="S63" s="247"/>
      <c r="T63" s="247"/>
      <c r="U63" s="247"/>
      <c r="V63" s="247"/>
      <c r="W63" s="227"/>
    </row>
    <row r="64" spans="1:23" x14ac:dyDescent="0.2">
      <c r="A64" s="227"/>
      <c r="B64" s="261">
        <v>26</v>
      </c>
      <c r="C64" s="262">
        <f>IF(AND(NOT(COUNTA(D64:F64)),(NOT(COUNTA(H64:K64))),(NOT(COUNTA(N64:V64)))),"",VLOOKUP($D$7,Info_County_Code,2,FALSE))</f>
        <v>10</v>
      </c>
      <c r="D64" s="436" t="s">
        <v>454</v>
      </c>
      <c r="E64" s="226"/>
      <c r="F64" s="441" t="s">
        <v>138</v>
      </c>
      <c r="G64" s="265">
        <f>SUM(H64:K64,L64)</f>
        <v>4501524.6399999997</v>
      </c>
      <c r="H64" s="266">
        <v>1465454.09</v>
      </c>
      <c r="I64" s="245"/>
      <c r="J64" s="245"/>
      <c r="K64" s="267">
        <v>19405.939999999999</v>
      </c>
      <c r="L64" s="244">
        <f t="shared" si="5"/>
        <v>3016664.61</v>
      </c>
      <c r="M64" s="245"/>
      <c r="N64" s="245"/>
      <c r="O64" s="245">
        <v>3016664.61</v>
      </c>
      <c r="P64" s="245"/>
      <c r="Q64" s="246"/>
      <c r="R64" s="247"/>
      <c r="S64" s="247"/>
      <c r="T64" s="247"/>
      <c r="U64" s="247"/>
      <c r="V64" s="247"/>
      <c r="W64" s="227"/>
    </row>
    <row r="65" spans="1:23" x14ac:dyDescent="0.2">
      <c r="A65" s="227"/>
      <c r="B65" s="261">
        <v>27</v>
      </c>
      <c r="C65" s="262" t="str">
        <f>IF(AND(NOT(COUNTA(D65:F65)),(NOT(COUNTA(H65:K65))),(NOT(COUNTA(N65:V65)))),"",VLOOKUP($D$7,Info_County_Code,2,FALSE))</f>
        <v/>
      </c>
      <c r="D65" s="436"/>
      <c r="E65" s="226"/>
      <c r="F65" s="264"/>
      <c r="G65" s="265">
        <f t="shared" si="6"/>
        <v>0</v>
      </c>
      <c r="H65" s="266"/>
      <c r="I65" s="245"/>
      <c r="J65" s="245"/>
      <c r="K65" s="267"/>
      <c r="L65" s="244">
        <f t="shared" si="5"/>
        <v>0</v>
      </c>
      <c r="M65" s="245"/>
      <c r="N65" s="245"/>
      <c r="O65" s="245"/>
      <c r="P65" s="245"/>
      <c r="Q65" s="246"/>
      <c r="R65" s="247"/>
      <c r="S65" s="247"/>
      <c r="T65" s="247"/>
      <c r="U65" s="247"/>
      <c r="V65" s="247"/>
      <c r="W65" s="227"/>
    </row>
    <row r="66" spans="1:23" x14ac:dyDescent="0.2">
      <c r="A66" s="227"/>
      <c r="B66" s="261">
        <v>28</v>
      </c>
      <c r="C66" s="262" t="str">
        <f t="shared" si="4"/>
        <v/>
      </c>
      <c r="D66" s="226"/>
      <c r="E66" s="226"/>
      <c r="F66" s="264"/>
      <c r="G66" s="265">
        <f t="shared" si="6"/>
        <v>0</v>
      </c>
      <c r="H66" s="266"/>
      <c r="I66" s="245"/>
      <c r="J66" s="245"/>
      <c r="K66" s="267"/>
      <c r="L66" s="244">
        <f t="shared" si="5"/>
        <v>0</v>
      </c>
      <c r="M66" s="245"/>
      <c r="N66" s="245"/>
      <c r="O66" s="245"/>
      <c r="P66" s="245"/>
      <c r="Q66" s="246"/>
      <c r="R66" s="247"/>
      <c r="S66" s="247"/>
      <c r="T66" s="247"/>
      <c r="U66" s="247"/>
      <c r="V66" s="247"/>
      <c r="W66" s="227"/>
    </row>
    <row r="67" spans="1:23" x14ac:dyDescent="0.2">
      <c r="A67" s="227"/>
      <c r="B67" s="261">
        <v>29</v>
      </c>
      <c r="C67" s="262" t="str">
        <f t="shared" si="4"/>
        <v/>
      </c>
      <c r="D67" s="226"/>
      <c r="E67" s="226"/>
      <c r="F67" s="264"/>
      <c r="G67" s="265">
        <f t="shared" si="6"/>
        <v>0</v>
      </c>
      <c r="H67" s="266"/>
      <c r="I67" s="245"/>
      <c r="J67" s="245"/>
      <c r="K67" s="267"/>
      <c r="L67" s="244">
        <f t="shared" si="5"/>
        <v>0</v>
      </c>
      <c r="M67" s="245"/>
      <c r="N67" s="245"/>
      <c r="O67" s="245"/>
      <c r="P67" s="245"/>
      <c r="Q67" s="246"/>
      <c r="R67" s="247"/>
      <c r="S67" s="247"/>
      <c r="T67" s="247"/>
      <c r="U67" s="247"/>
      <c r="V67" s="247"/>
      <c r="W67" s="227"/>
    </row>
    <row r="68" spans="1:23" x14ac:dyDescent="0.2">
      <c r="A68" s="227"/>
      <c r="B68" s="261">
        <v>30</v>
      </c>
      <c r="C68" s="262" t="str">
        <f t="shared" si="4"/>
        <v/>
      </c>
      <c r="D68" s="226"/>
      <c r="E68" s="226"/>
      <c r="F68" s="264"/>
      <c r="G68" s="265">
        <f t="shared" si="6"/>
        <v>0</v>
      </c>
      <c r="H68" s="266"/>
      <c r="I68" s="245"/>
      <c r="J68" s="245"/>
      <c r="K68" s="267"/>
      <c r="L68" s="244">
        <f t="shared" si="5"/>
        <v>0</v>
      </c>
      <c r="M68" s="245"/>
      <c r="N68" s="245"/>
      <c r="O68" s="245"/>
      <c r="P68" s="245"/>
      <c r="Q68" s="246"/>
      <c r="R68" s="247"/>
      <c r="S68" s="247"/>
      <c r="T68" s="247"/>
      <c r="U68" s="247"/>
      <c r="V68" s="247"/>
      <c r="W68" s="227"/>
    </row>
    <row r="69" spans="1:23" x14ac:dyDescent="0.2">
      <c r="A69" s="227"/>
      <c r="B69" s="261">
        <v>31</v>
      </c>
      <c r="C69" s="262" t="str">
        <f t="shared" si="4"/>
        <v/>
      </c>
      <c r="D69" s="226"/>
      <c r="E69" s="226"/>
      <c r="F69" s="264"/>
      <c r="G69" s="265">
        <f t="shared" si="6"/>
        <v>0</v>
      </c>
      <c r="H69" s="266"/>
      <c r="I69" s="245"/>
      <c r="J69" s="245"/>
      <c r="K69" s="267"/>
      <c r="L69" s="244">
        <f t="shared" si="5"/>
        <v>0</v>
      </c>
      <c r="M69" s="245"/>
      <c r="N69" s="245"/>
      <c r="O69" s="245"/>
      <c r="P69" s="245"/>
      <c r="Q69" s="246"/>
      <c r="R69" s="247"/>
      <c r="S69" s="247"/>
      <c r="T69" s="247"/>
      <c r="U69" s="247"/>
      <c r="V69" s="247"/>
      <c r="W69" s="227"/>
    </row>
    <row r="70" spans="1:23" x14ac:dyDescent="0.2">
      <c r="A70" s="227"/>
      <c r="B70" s="261">
        <v>32</v>
      </c>
      <c r="C70" s="262" t="str">
        <f t="shared" si="4"/>
        <v/>
      </c>
      <c r="D70" s="226"/>
      <c r="E70" s="226"/>
      <c r="F70" s="264"/>
      <c r="G70" s="265">
        <f t="shared" si="6"/>
        <v>0</v>
      </c>
      <c r="H70" s="266"/>
      <c r="I70" s="245"/>
      <c r="J70" s="245"/>
      <c r="K70" s="267"/>
      <c r="L70" s="244">
        <f t="shared" si="5"/>
        <v>0</v>
      </c>
      <c r="M70" s="245"/>
      <c r="N70" s="245"/>
      <c r="O70" s="245"/>
      <c r="P70" s="245"/>
      <c r="Q70" s="246"/>
      <c r="R70" s="247"/>
      <c r="S70" s="247"/>
      <c r="T70" s="247"/>
      <c r="U70" s="247"/>
      <c r="V70" s="247"/>
      <c r="W70" s="227"/>
    </row>
    <row r="71" spans="1:23" x14ac:dyDescent="0.2">
      <c r="A71" s="227"/>
      <c r="B71" s="261">
        <v>33</v>
      </c>
      <c r="C71" s="262" t="str">
        <f t="shared" si="4"/>
        <v/>
      </c>
      <c r="D71" s="226"/>
      <c r="E71" s="226"/>
      <c r="F71" s="264"/>
      <c r="G71" s="265">
        <f t="shared" si="6"/>
        <v>0</v>
      </c>
      <c r="H71" s="266"/>
      <c r="I71" s="245"/>
      <c r="J71" s="245"/>
      <c r="K71" s="267"/>
      <c r="L71" s="244">
        <f t="shared" si="5"/>
        <v>0</v>
      </c>
      <c r="M71" s="245"/>
      <c r="N71" s="245"/>
      <c r="O71" s="245"/>
      <c r="P71" s="245"/>
      <c r="Q71" s="246"/>
      <c r="R71" s="247"/>
      <c r="S71" s="247"/>
      <c r="T71" s="247"/>
      <c r="U71" s="247"/>
      <c r="V71" s="247"/>
      <c r="W71" s="227"/>
    </row>
    <row r="72" spans="1:23" x14ac:dyDescent="0.2">
      <c r="A72" s="227"/>
      <c r="B72" s="261">
        <v>34</v>
      </c>
      <c r="C72" s="262" t="str">
        <f t="shared" si="4"/>
        <v/>
      </c>
      <c r="D72" s="226"/>
      <c r="E72" s="226"/>
      <c r="F72" s="264"/>
      <c r="G72" s="265">
        <f t="shared" si="6"/>
        <v>0</v>
      </c>
      <c r="H72" s="266"/>
      <c r="I72" s="245"/>
      <c r="J72" s="245"/>
      <c r="K72" s="267"/>
      <c r="L72" s="244">
        <f t="shared" si="5"/>
        <v>0</v>
      </c>
      <c r="M72" s="245"/>
      <c r="N72" s="245"/>
      <c r="O72" s="245"/>
      <c r="P72" s="245"/>
      <c r="Q72" s="246"/>
      <c r="R72" s="247"/>
      <c r="S72" s="247"/>
      <c r="T72" s="247"/>
      <c r="U72" s="247"/>
      <c r="V72" s="247"/>
      <c r="W72" s="227"/>
    </row>
    <row r="73" spans="1:23" x14ac:dyDescent="0.2">
      <c r="A73" s="227"/>
      <c r="B73" s="261">
        <v>35</v>
      </c>
      <c r="C73" s="262" t="str">
        <f t="shared" si="4"/>
        <v/>
      </c>
      <c r="D73" s="226"/>
      <c r="E73" s="226"/>
      <c r="F73" s="264"/>
      <c r="G73" s="265">
        <f t="shared" si="6"/>
        <v>0</v>
      </c>
      <c r="H73" s="266"/>
      <c r="I73" s="245"/>
      <c r="J73" s="245"/>
      <c r="K73" s="267"/>
      <c r="L73" s="244">
        <f t="shared" si="5"/>
        <v>0</v>
      </c>
      <c r="M73" s="245"/>
      <c r="N73" s="245"/>
      <c r="O73" s="245"/>
      <c r="P73" s="245"/>
      <c r="Q73" s="246"/>
      <c r="R73" s="247"/>
      <c r="S73" s="247"/>
      <c r="T73" s="247"/>
      <c r="U73" s="247"/>
      <c r="V73" s="247"/>
      <c r="W73" s="227"/>
    </row>
    <row r="74" spans="1:23" x14ac:dyDescent="0.2">
      <c r="A74" s="227"/>
      <c r="B74" s="261">
        <v>36</v>
      </c>
      <c r="C74" s="262" t="str">
        <f t="shared" si="4"/>
        <v/>
      </c>
      <c r="D74" s="226"/>
      <c r="E74" s="226"/>
      <c r="F74" s="264"/>
      <c r="G74" s="265">
        <f t="shared" si="6"/>
        <v>0</v>
      </c>
      <c r="H74" s="266"/>
      <c r="I74" s="245"/>
      <c r="J74" s="245"/>
      <c r="K74" s="267"/>
      <c r="L74" s="244">
        <f t="shared" si="5"/>
        <v>0</v>
      </c>
      <c r="M74" s="245"/>
      <c r="N74" s="245"/>
      <c r="O74" s="245"/>
      <c r="P74" s="245"/>
      <c r="Q74" s="246"/>
      <c r="R74" s="247"/>
      <c r="S74" s="247"/>
      <c r="T74" s="247"/>
      <c r="U74" s="247"/>
      <c r="V74" s="247"/>
      <c r="W74" s="227"/>
    </row>
    <row r="75" spans="1:23" x14ac:dyDescent="0.2">
      <c r="A75" s="227"/>
      <c r="B75" s="261">
        <v>37</v>
      </c>
      <c r="C75" s="262" t="str">
        <f t="shared" si="4"/>
        <v/>
      </c>
      <c r="D75" s="226"/>
      <c r="E75" s="226"/>
      <c r="F75" s="264"/>
      <c r="G75" s="265">
        <f t="shared" si="6"/>
        <v>0</v>
      </c>
      <c r="H75" s="266"/>
      <c r="I75" s="245"/>
      <c r="J75" s="245"/>
      <c r="K75" s="267"/>
      <c r="L75" s="244">
        <f t="shared" si="5"/>
        <v>0</v>
      </c>
      <c r="M75" s="245"/>
      <c r="N75" s="245"/>
      <c r="O75" s="245"/>
      <c r="P75" s="245"/>
      <c r="Q75" s="246"/>
      <c r="R75" s="247"/>
      <c r="S75" s="247"/>
      <c r="T75" s="247"/>
      <c r="U75" s="247"/>
      <c r="V75" s="247"/>
      <c r="W75" s="227"/>
    </row>
    <row r="76" spans="1:23" x14ac:dyDescent="0.2">
      <c r="A76" s="227"/>
      <c r="B76" s="261">
        <v>38</v>
      </c>
      <c r="C76" s="262" t="str">
        <f t="shared" si="4"/>
        <v/>
      </c>
      <c r="D76" s="226"/>
      <c r="E76" s="226"/>
      <c r="F76" s="264"/>
      <c r="G76" s="265">
        <f t="shared" si="6"/>
        <v>0</v>
      </c>
      <c r="H76" s="266"/>
      <c r="I76" s="245"/>
      <c r="J76" s="245"/>
      <c r="K76" s="267"/>
      <c r="L76" s="244">
        <f t="shared" si="5"/>
        <v>0</v>
      </c>
      <c r="M76" s="245"/>
      <c r="N76" s="245"/>
      <c r="O76" s="245"/>
      <c r="P76" s="245"/>
      <c r="Q76" s="246"/>
      <c r="R76" s="247"/>
      <c r="S76" s="247"/>
      <c r="T76" s="247"/>
      <c r="U76" s="247"/>
      <c r="V76" s="247"/>
      <c r="W76" s="227"/>
    </row>
    <row r="77" spans="1:23" x14ac:dyDescent="0.2">
      <c r="A77" s="227"/>
      <c r="B77" s="261">
        <v>39</v>
      </c>
      <c r="C77" s="262" t="str">
        <f t="shared" si="4"/>
        <v/>
      </c>
      <c r="D77" s="226"/>
      <c r="E77" s="226"/>
      <c r="F77" s="264"/>
      <c r="G77" s="265">
        <f t="shared" si="6"/>
        <v>0</v>
      </c>
      <c r="H77" s="266"/>
      <c r="I77" s="245"/>
      <c r="J77" s="245"/>
      <c r="K77" s="267"/>
      <c r="L77" s="244">
        <f t="shared" si="5"/>
        <v>0</v>
      </c>
      <c r="M77" s="245"/>
      <c r="N77" s="245"/>
      <c r="O77" s="245"/>
      <c r="P77" s="245"/>
      <c r="Q77" s="246"/>
      <c r="R77" s="247"/>
      <c r="S77" s="247"/>
      <c r="T77" s="247"/>
      <c r="U77" s="247"/>
      <c r="V77" s="247"/>
      <c r="W77" s="227"/>
    </row>
    <row r="78" spans="1:23" x14ac:dyDescent="0.2">
      <c r="A78" s="227"/>
      <c r="B78" s="261">
        <v>40</v>
      </c>
      <c r="C78" s="262" t="str">
        <f t="shared" si="4"/>
        <v/>
      </c>
      <c r="D78" s="226"/>
      <c r="E78" s="226"/>
      <c r="F78" s="264"/>
      <c r="G78" s="265">
        <f t="shared" si="6"/>
        <v>0</v>
      </c>
      <c r="H78" s="266"/>
      <c r="I78" s="245"/>
      <c r="J78" s="245"/>
      <c r="K78" s="267"/>
      <c r="L78" s="244">
        <f t="shared" si="5"/>
        <v>0</v>
      </c>
      <c r="M78" s="245"/>
      <c r="N78" s="245"/>
      <c r="O78" s="245"/>
      <c r="P78" s="245"/>
      <c r="Q78" s="246"/>
      <c r="R78" s="247"/>
      <c r="S78" s="247"/>
      <c r="T78" s="247"/>
      <c r="U78" s="247"/>
      <c r="V78" s="247"/>
      <c r="W78" s="227"/>
    </row>
    <row r="79" spans="1:23" x14ac:dyDescent="0.2">
      <c r="A79" s="227"/>
      <c r="B79" s="261">
        <v>41</v>
      </c>
      <c r="C79" s="262" t="str">
        <f t="shared" si="4"/>
        <v/>
      </c>
      <c r="D79" s="226"/>
      <c r="E79" s="226"/>
      <c r="F79" s="264"/>
      <c r="G79" s="265">
        <f t="shared" si="6"/>
        <v>0</v>
      </c>
      <c r="H79" s="266"/>
      <c r="I79" s="245"/>
      <c r="J79" s="245"/>
      <c r="K79" s="267"/>
      <c r="L79" s="244">
        <f t="shared" si="5"/>
        <v>0</v>
      </c>
      <c r="M79" s="245"/>
      <c r="N79" s="245"/>
      <c r="O79" s="245"/>
      <c r="P79" s="245"/>
      <c r="Q79" s="246"/>
      <c r="R79" s="247"/>
      <c r="S79" s="247"/>
      <c r="T79" s="247"/>
      <c r="U79" s="247"/>
      <c r="V79" s="247"/>
      <c r="W79" s="227"/>
    </row>
    <row r="80" spans="1:23" x14ac:dyDescent="0.2">
      <c r="A80" s="227"/>
      <c r="B80" s="261">
        <v>42</v>
      </c>
      <c r="C80" s="262" t="str">
        <f t="shared" si="4"/>
        <v/>
      </c>
      <c r="D80" s="226"/>
      <c r="E80" s="226"/>
      <c r="F80" s="264"/>
      <c r="G80" s="265">
        <f t="shared" si="6"/>
        <v>0</v>
      </c>
      <c r="H80" s="266"/>
      <c r="I80" s="245"/>
      <c r="J80" s="245"/>
      <c r="K80" s="267"/>
      <c r="L80" s="244">
        <f t="shared" si="5"/>
        <v>0</v>
      </c>
      <c r="M80" s="245"/>
      <c r="N80" s="245"/>
      <c r="O80" s="245"/>
      <c r="P80" s="245"/>
      <c r="Q80" s="246"/>
      <c r="R80" s="247"/>
      <c r="S80" s="247"/>
      <c r="T80" s="247"/>
      <c r="U80" s="247"/>
      <c r="V80" s="247"/>
      <c r="W80" s="227"/>
    </row>
    <row r="81" spans="1:23" x14ac:dyDescent="0.2">
      <c r="A81" s="227"/>
      <c r="B81" s="261">
        <v>43</v>
      </c>
      <c r="C81" s="262" t="str">
        <f t="shared" si="4"/>
        <v/>
      </c>
      <c r="D81" s="226"/>
      <c r="E81" s="226"/>
      <c r="F81" s="264"/>
      <c r="G81" s="265">
        <f t="shared" si="6"/>
        <v>0</v>
      </c>
      <c r="H81" s="266"/>
      <c r="I81" s="245"/>
      <c r="J81" s="245"/>
      <c r="K81" s="267"/>
      <c r="L81" s="244">
        <f t="shared" si="5"/>
        <v>0</v>
      </c>
      <c r="M81" s="245"/>
      <c r="N81" s="245"/>
      <c r="O81" s="245"/>
      <c r="P81" s="245"/>
      <c r="Q81" s="246"/>
      <c r="R81" s="247"/>
      <c r="S81" s="247"/>
      <c r="T81" s="247"/>
      <c r="U81" s="247"/>
      <c r="V81" s="247"/>
      <c r="W81" s="227"/>
    </row>
    <row r="82" spans="1:23" x14ac:dyDescent="0.2">
      <c r="A82" s="227"/>
      <c r="B82" s="261">
        <v>44</v>
      </c>
      <c r="C82" s="262" t="str">
        <f t="shared" si="4"/>
        <v/>
      </c>
      <c r="D82" s="226"/>
      <c r="E82" s="226"/>
      <c r="F82" s="264"/>
      <c r="G82" s="265">
        <f t="shared" si="6"/>
        <v>0</v>
      </c>
      <c r="H82" s="266"/>
      <c r="I82" s="245"/>
      <c r="J82" s="245"/>
      <c r="K82" s="267"/>
      <c r="L82" s="244">
        <f t="shared" si="5"/>
        <v>0</v>
      </c>
      <c r="M82" s="245"/>
      <c r="N82" s="245"/>
      <c r="O82" s="245"/>
      <c r="P82" s="245"/>
      <c r="Q82" s="246"/>
      <c r="R82" s="247"/>
      <c r="S82" s="247"/>
      <c r="T82" s="247"/>
      <c r="U82" s="247"/>
      <c r="V82" s="247"/>
      <c r="W82" s="227"/>
    </row>
    <row r="83" spans="1:23" x14ac:dyDescent="0.2">
      <c r="A83" s="227"/>
      <c r="B83" s="261">
        <v>45</v>
      </c>
      <c r="C83" s="262" t="str">
        <f t="shared" si="4"/>
        <v/>
      </c>
      <c r="D83" s="268"/>
      <c r="E83" s="268"/>
      <c r="F83" s="269"/>
      <c r="G83" s="265">
        <f t="shared" si="6"/>
        <v>0</v>
      </c>
      <c r="H83" s="270"/>
      <c r="I83" s="271"/>
      <c r="J83" s="271"/>
      <c r="K83" s="272"/>
      <c r="L83" s="244">
        <f t="shared" si="5"/>
        <v>0</v>
      </c>
      <c r="M83" s="271"/>
      <c r="N83" s="271"/>
      <c r="O83" s="271"/>
      <c r="P83" s="271"/>
      <c r="Q83" s="246"/>
      <c r="R83" s="247"/>
      <c r="S83" s="247"/>
      <c r="T83" s="247"/>
      <c r="U83" s="247"/>
      <c r="V83" s="247"/>
      <c r="W83" s="227"/>
    </row>
    <row r="84" spans="1:23" hidden="1" x14ac:dyDescent="0.2">
      <c r="A84" s="227"/>
      <c r="B84" s="227"/>
      <c r="C84" s="227"/>
      <c r="D84" s="227"/>
      <c r="E84" s="227"/>
      <c r="F84" s="227"/>
      <c r="G84" s="227"/>
      <c r="H84" s="227"/>
      <c r="I84" s="227"/>
      <c r="J84" s="227"/>
      <c r="K84" s="227"/>
      <c r="L84" s="227"/>
      <c r="M84" s="227"/>
      <c r="N84" s="227"/>
      <c r="O84" s="227"/>
      <c r="P84" s="227"/>
      <c r="Q84" s="227"/>
      <c r="R84" s="227"/>
      <c r="S84" s="227"/>
      <c r="T84" s="227"/>
      <c r="U84" s="227"/>
      <c r="V84" s="227"/>
      <c r="W84" s="227"/>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C11" zoomScale="70" zoomScaleNormal="70" zoomScaleSheetLayoutView="40" zoomScalePageLayoutView="80" workbookViewId="0">
      <pane xSplit="4" ySplit="3" topLeftCell="K26" activePane="bottomRight" state="frozen"/>
      <selection activeCell="C11" sqref="C11"/>
      <selection pane="topRight" activeCell="G11" sqref="G11"/>
      <selection pane="bottomLeft" activeCell="C14" sqref="C14"/>
      <selection pane="bottomRight" activeCell="L16" sqref="L16"/>
    </sheetView>
  </sheetViews>
  <sheetFormatPr defaultColWidth="0" defaultRowHeight="15" zeroHeight="1" x14ac:dyDescent="0.2"/>
  <cols>
    <col min="1" max="1" width="2.7109375" style="227" customWidth="1"/>
    <col min="2" max="2" width="6.7109375" style="227" customWidth="1"/>
    <col min="3" max="3" width="15.28515625" style="294" customWidth="1"/>
    <col min="4" max="4" width="27.7109375" style="227" customWidth="1"/>
    <col min="5" max="5" width="24.5703125" style="227" bestFit="1" customWidth="1"/>
    <col min="6" max="7" width="26" style="227" bestFit="1" customWidth="1"/>
    <col min="8" max="8" width="20.7109375" style="227" bestFit="1" customWidth="1"/>
    <col min="9" max="9" width="20" style="227" bestFit="1" customWidth="1"/>
    <col min="10" max="10" width="23" style="227" customWidth="1"/>
    <col min="11" max="12" width="17.7109375" style="227" customWidth="1"/>
    <col min="13" max="13" width="23.140625" style="227" customWidth="1"/>
    <col min="14" max="14" width="16.7109375" style="227" customWidth="1"/>
    <col min="15" max="15" width="16.5703125" style="227" customWidth="1"/>
    <col min="16" max="16" width="15" style="227" customWidth="1"/>
    <col min="17" max="17" width="17.5703125" style="227" customWidth="1"/>
    <col min="18" max="18" width="15" style="227" customWidth="1"/>
    <col min="19" max="19" width="16.5703125" style="227" customWidth="1"/>
    <col min="20" max="20" width="17.5703125" style="227" customWidth="1"/>
    <col min="21" max="21" width="16.140625" style="227" customWidth="1"/>
    <col min="22" max="27" width="15" style="227" customWidth="1"/>
    <col min="28" max="16384" width="9.140625" style="227" hidden="1"/>
  </cols>
  <sheetData>
    <row r="1" spans="2:24" x14ac:dyDescent="0.2">
      <c r="B1" s="164" t="s">
        <v>332</v>
      </c>
      <c r="C1" s="164"/>
      <c r="D1" s="164"/>
    </row>
    <row r="2" spans="2:24" x14ac:dyDescent="0.2">
      <c r="B2" s="209"/>
      <c r="C2" s="209"/>
      <c r="D2" s="165"/>
    </row>
    <row r="3" spans="2:24" ht="18" x14ac:dyDescent="0.2">
      <c r="B3" s="400" t="s">
        <v>372</v>
      </c>
      <c r="C3" s="166"/>
      <c r="D3" s="166"/>
      <c r="E3" s="166"/>
      <c r="F3" s="166"/>
      <c r="G3" s="166"/>
      <c r="H3" s="166"/>
      <c r="I3" s="166"/>
      <c r="J3" s="166"/>
      <c r="K3" s="166"/>
      <c r="L3" s="167"/>
      <c r="M3" s="1"/>
      <c r="N3" s="1"/>
      <c r="O3" s="1"/>
      <c r="P3" s="1"/>
      <c r="Q3" s="1"/>
      <c r="R3" s="1"/>
      <c r="S3" s="1"/>
      <c r="T3" s="1"/>
      <c r="U3" s="1"/>
      <c r="V3" s="1"/>
      <c r="W3" s="1"/>
      <c r="X3" s="1"/>
    </row>
    <row r="4" spans="2:24" ht="18" x14ac:dyDescent="0.2">
      <c r="B4" s="400" t="s">
        <v>0</v>
      </c>
      <c r="C4" s="166"/>
      <c r="D4" s="166"/>
      <c r="E4" s="166"/>
      <c r="F4" s="166"/>
      <c r="G4" s="166"/>
      <c r="H4" s="166"/>
      <c r="I4" s="166"/>
      <c r="J4" s="166"/>
      <c r="K4" s="166"/>
      <c r="L4" s="167"/>
      <c r="M4" s="1"/>
      <c r="N4" s="1"/>
      <c r="O4" s="1"/>
      <c r="P4" s="1"/>
      <c r="Q4" s="1"/>
      <c r="R4" s="1"/>
      <c r="S4" s="1"/>
      <c r="T4" s="1"/>
      <c r="U4" s="1"/>
      <c r="V4" s="1"/>
      <c r="W4" s="1"/>
      <c r="X4" s="1"/>
    </row>
    <row r="5" spans="2:24" ht="18" x14ac:dyDescent="0.2">
      <c r="B5" s="400" t="s">
        <v>1</v>
      </c>
      <c r="C5" s="166"/>
      <c r="D5" s="166"/>
      <c r="E5" s="166"/>
      <c r="F5" s="166"/>
      <c r="G5" s="166"/>
      <c r="H5" s="166"/>
      <c r="I5" s="166"/>
      <c r="J5" s="166"/>
      <c r="K5" s="166"/>
      <c r="L5" s="167"/>
      <c r="M5" s="1"/>
      <c r="N5" s="1"/>
      <c r="O5" s="1"/>
      <c r="P5" s="1"/>
      <c r="Q5" s="1"/>
      <c r="R5" s="1"/>
      <c r="S5" s="1"/>
      <c r="T5" s="1"/>
      <c r="U5" s="1"/>
      <c r="V5" s="1"/>
      <c r="W5" s="1"/>
      <c r="X5" s="1"/>
    </row>
    <row r="6" spans="2:24" ht="15.75" x14ac:dyDescent="0.2">
      <c r="B6" s="167"/>
      <c r="C6" s="167"/>
      <c r="D6" s="167"/>
      <c r="E6" s="167"/>
      <c r="F6" s="167"/>
      <c r="G6" s="167"/>
      <c r="H6" s="167"/>
      <c r="I6" s="167"/>
      <c r="J6" s="167"/>
      <c r="K6" s="167"/>
      <c r="L6" s="167"/>
      <c r="M6" s="1"/>
      <c r="N6" s="1"/>
      <c r="O6" s="1"/>
      <c r="P6" s="1"/>
      <c r="Q6" s="1"/>
      <c r="R6" s="1"/>
      <c r="S6" s="1"/>
      <c r="T6" s="1"/>
      <c r="U6" s="1"/>
      <c r="V6" s="1"/>
      <c r="W6" s="1"/>
      <c r="X6" s="1"/>
    </row>
    <row r="7" spans="2:24" ht="15.75" customHeight="1" x14ac:dyDescent="0.25">
      <c r="B7" s="481" t="s">
        <v>2</v>
      </c>
      <c r="C7" s="454"/>
      <c r="D7" s="55" t="str">
        <f>IF(ISBLANK('1. Information'!D6),"",'1. Information'!D6)</f>
        <v>Fresno</v>
      </c>
      <c r="F7" s="205" t="s">
        <v>3</v>
      </c>
      <c r="G7" s="228">
        <f>IF(ISBLANK('1. Information'!D5),"",'1. Information'!D5)</f>
        <v>43223</v>
      </c>
      <c r="J7" s="229"/>
      <c r="K7" s="229"/>
      <c r="L7" s="229"/>
      <c r="M7" s="229"/>
      <c r="N7" s="229"/>
      <c r="O7" s="229"/>
      <c r="P7" s="229"/>
      <c r="Q7" s="229"/>
      <c r="R7" s="229"/>
      <c r="S7" s="229"/>
      <c r="T7" s="229"/>
      <c r="U7" s="229"/>
      <c r="V7" s="229"/>
      <c r="W7" s="229"/>
    </row>
    <row r="8" spans="2:24" ht="15.75" x14ac:dyDescent="0.25">
      <c r="C8" s="15"/>
      <c r="D8" s="15"/>
      <c r="E8" s="15"/>
      <c r="F8" s="15"/>
      <c r="G8" s="7"/>
      <c r="H8" s="63"/>
      <c r="I8" s="15"/>
      <c r="J8" s="230"/>
      <c r="K8" s="229"/>
      <c r="L8" s="229"/>
      <c r="M8" s="229"/>
      <c r="N8" s="229"/>
      <c r="O8" s="229"/>
      <c r="P8" s="229"/>
      <c r="Q8" s="229"/>
      <c r="R8" s="229"/>
      <c r="S8" s="229"/>
      <c r="T8" s="229"/>
      <c r="U8" s="229"/>
      <c r="V8" s="229"/>
      <c r="W8" s="229"/>
      <c r="X8" s="229"/>
    </row>
    <row r="9" spans="2:24" ht="18.75" thickBot="1" x14ac:dyDescent="0.3">
      <c r="B9" s="398" t="s">
        <v>385</v>
      </c>
      <c r="C9" s="231"/>
      <c r="D9" s="106"/>
      <c r="E9" s="106"/>
      <c r="F9" s="106"/>
      <c r="G9" s="141"/>
      <c r="H9" s="168"/>
      <c r="I9" s="106"/>
      <c r="J9" s="232"/>
      <c r="K9" s="233"/>
      <c r="L9" s="233"/>
      <c r="M9" s="233"/>
      <c r="N9" s="233"/>
      <c r="O9" s="233"/>
      <c r="P9" s="233"/>
      <c r="Q9" s="233"/>
      <c r="R9" s="233"/>
      <c r="S9" s="233"/>
      <c r="T9" s="233"/>
      <c r="U9" s="233"/>
      <c r="V9" s="229"/>
    </row>
    <row r="10" spans="2:24" ht="16.5" thickTop="1" x14ac:dyDescent="0.25">
      <c r="C10" s="7"/>
      <c r="D10" s="15"/>
      <c r="E10" s="15"/>
      <c r="F10" s="15"/>
      <c r="G10" s="7"/>
      <c r="H10" s="63"/>
      <c r="I10" s="15"/>
      <c r="J10" s="230"/>
      <c r="K10" s="229"/>
      <c r="L10" s="229"/>
      <c r="M10" s="229"/>
      <c r="N10" s="229"/>
      <c r="O10" s="229"/>
      <c r="P10" s="229"/>
      <c r="Q10" s="229"/>
      <c r="R10" s="229"/>
      <c r="S10" s="229"/>
      <c r="T10" s="229"/>
      <c r="U10" s="229"/>
      <c r="V10" s="229"/>
    </row>
    <row r="11" spans="2:24" ht="15.75" x14ac:dyDescent="0.25">
      <c r="C11" s="7"/>
      <c r="D11" s="15"/>
      <c r="E11" s="15"/>
      <c r="F11" s="125" t="s">
        <v>59</v>
      </c>
      <c r="G11" s="142" t="s">
        <v>61</v>
      </c>
      <c r="H11" s="73" t="s">
        <v>65</v>
      </c>
      <c r="I11" s="73" t="s">
        <v>350</v>
      </c>
      <c r="J11" s="125" t="s">
        <v>351</v>
      </c>
      <c r="K11" s="258" t="s">
        <v>352</v>
      </c>
      <c r="L11" s="252" t="s">
        <v>361</v>
      </c>
      <c r="M11" s="252" t="s">
        <v>353</v>
      </c>
      <c r="N11" s="252" t="s">
        <v>354</v>
      </c>
      <c r="O11" s="252" t="s">
        <v>355</v>
      </c>
      <c r="P11" s="252" t="s">
        <v>356</v>
      </c>
      <c r="Q11" s="252" t="s">
        <v>357</v>
      </c>
      <c r="R11" s="252" t="s">
        <v>358</v>
      </c>
      <c r="S11" s="252" t="s">
        <v>359</v>
      </c>
      <c r="T11" s="252" t="s">
        <v>360</v>
      </c>
      <c r="U11" s="252" t="s">
        <v>362</v>
      </c>
      <c r="V11" s="169"/>
    </row>
    <row r="12" spans="2:24" ht="15.75" x14ac:dyDescent="0.25">
      <c r="C12" s="227"/>
      <c r="D12" s="15"/>
      <c r="E12" s="15"/>
      <c r="F12" s="208"/>
      <c r="G12" s="454" t="s">
        <v>62</v>
      </c>
      <c r="H12" s="449"/>
      <c r="I12" s="449"/>
      <c r="J12" s="455"/>
      <c r="K12" s="474" t="s">
        <v>60</v>
      </c>
      <c r="L12" s="474"/>
      <c r="M12" s="474"/>
      <c r="N12" s="474"/>
      <c r="O12" s="474"/>
      <c r="P12" s="474"/>
      <c r="Q12" s="474"/>
      <c r="R12" s="474"/>
      <c r="S12" s="474"/>
      <c r="T12" s="474"/>
      <c r="U12" s="460"/>
      <c r="V12" s="169"/>
    </row>
    <row r="13" spans="2:24" ht="47.25" customHeight="1" x14ac:dyDescent="0.2">
      <c r="C13" s="485"/>
      <c r="D13" s="485"/>
      <c r="E13" s="485"/>
      <c r="F13" s="127" t="s">
        <v>279</v>
      </c>
      <c r="G13" s="113" t="s">
        <v>7</v>
      </c>
      <c r="H13" s="76" t="s">
        <v>8</v>
      </c>
      <c r="I13" s="76" t="s">
        <v>63</v>
      </c>
      <c r="J13" s="119" t="s">
        <v>10</v>
      </c>
      <c r="K13" s="128" t="s">
        <v>389</v>
      </c>
      <c r="L13" s="76" t="s">
        <v>277</v>
      </c>
      <c r="M13" s="80" t="s">
        <v>11</v>
      </c>
      <c r="N13" s="80" t="s">
        <v>12</v>
      </c>
      <c r="O13" s="81" t="s">
        <v>13</v>
      </c>
      <c r="P13" s="144" t="s">
        <v>14</v>
      </c>
      <c r="Q13" s="144" t="s">
        <v>15</v>
      </c>
      <c r="R13" s="145" t="s">
        <v>171</v>
      </c>
      <c r="S13" s="145" t="s">
        <v>172</v>
      </c>
      <c r="T13" s="145" t="s">
        <v>173</v>
      </c>
      <c r="U13" s="145" t="s">
        <v>174</v>
      </c>
    </row>
    <row r="14" spans="2:24" s="229" customFormat="1" ht="15.75" x14ac:dyDescent="0.25">
      <c r="B14" s="252">
        <v>1</v>
      </c>
      <c r="C14" s="456" t="s">
        <v>4</v>
      </c>
      <c r="D14" s="456"/>
      <c r="E14" s="456"/>
      <c r="F14" s="240">
        <f t="shared" ref="F14:F20" si="0">SUM(G14:J14,K14)</f>
        <v>0</v>
      </c>
      <c r="G14" s="248"/>
      <c r="H14" s="242"/>
      <c r="I14" s="242"/>
      <c r="J14" s="243"/>
      <c r="K14" s="244">
        <f t="shared" ref="K14:K19" si="1">SUM(L14,M14:U14)</f>
        <v>0</v>
      </c>
      <c r="L14" s="242"/>
      <c r="M14" s="242"/>
      <c r="N14" s="242"/>
      <c r="O14" s="242"/>
      <c r="P14" s="246"/>
      <c r="Q14" s="247"/>
      <c r="R14" s="247"/>
      <c r="S14" s="247"/>
      <c r="T14" s="247"/>
      <c r="U14" s="247"/>
    </row>
    <row r="15" spans="2:24" s="229" customFormat="1" ht="15" customHeight="1" x14ac:dyDescent="0.25">
      <c r="B15" s="252">
        <v>2</v>
      </c>
      <c r="C15" s="456" t="s">
        <v>176</v>
      </c>
      <c r="D15" s="456"/>
      <c r="E15" s="456"/>
      <c r="F15" s="240">
        <f t="shared" si="0"/>
        <v>0</v>
      </c>
      <c r="G15" s="248"/>
      <c r="H15" s="242"/>
      <c r="I15" s="242"/>
      <c r="J15" s="243"/>
      <c r="K15" s="244">
        <f t="shared" si="1"/>
        <v>0</v>
      </c>
      <c r="L15" s="242"/>
      <c r="M15" s="242"/>
      <c r="N15" s="242"/>
      <c r="O15" s="242"/>
      <c r="P15" s="246"/>
      <c r="Q15" s="247"/>
      <c r="R15" s="247"/>
      <c r="S15" s="247"/>
      <c r="T15" s="247"/>
      <c r="U15" s="247"/>
    </row>
    <row r="16" spans="2:24" s="229" customFormat="1" ht="15" customHeight="1" x14ac:dyDescent="0.25">
      <c r="B16" s="252">
        <v>3</v>
      </c>
      <c r="C16" s="486" t="s">
        <v>202</v>
      </c>
      <c r="D16" s="486"/>
      <c r="E16" s="486"/>
      <c r="F16" s="240">
        <f t="shared" si="0"/>
        <v>779553.83</v>
      </c>
      <c r="G16" s="248"/>
      <c r="H16" s="242"/>
      <c r="I16" s="242"/>
      <c r="J16" s="243"/>
      <c r="K16" s="244">
        <f t="shared" si="1"/>
        <v>779553.83</v>
      </c>
      <c r="L16" s="432"/>
      <c r="M16" s="275"/>
      <c r="N16" s="275"/>
      <c r="O16" s="275">
        <f>779553.83</f>
        <v>779553.83</v>
      </c>
      <c r="P16" s="246"/>
      <c r="Q16" s="247"/>
      <c r="R16" s="276"/>
      <c r="S16" s="276"/>
      <c r="T16" s="276"/>
      <c r="U16" s="276"/>
    </row>
    <row r="17" spans="2:27" s="229" customFormat="1" ht="15" customHeight="1" x14ac:dyDescent="0.25">
      <c r="B17" s="252">
        <v>4</v>
      </c>
      <c r="C17" s="456" t="s">
        <v>323</v>
      </c>
      <c r="D17" s="456"/>
      <c r="E17" s="456"/>
      <c r="F17" s="240">
        <f t="shared" si="0"/>
        <v>0</v>
      </c>
      <c r="G17" s="248"/>
      <c r="H17" s="242"/>
      <c r="I17" s="242"/>
      <c r="J17" s="243"/>
      <c r="K17" s="244">
        <f t="shared" si="1"/>
        <v>0</v>
      </c>
      <c r="L17" s="277"/>
      <c r="M17" s="247"/>
      <c r="N17" s="247"/>
      <c r="O17" s="247"/>
      <c r="P17" s="246"/>
      <c r="Q17" s="254"/>
      <c r="R17" s="242"/>
      <c r="S17" s="242"/>
      <c r="T17" s="242"/>
      <c r="U17" s="242"/>
    </row>
    <row r="18" spans="2:27" s="229" customFormat="1" ht="15" customHeight="1" x14ac:dyDescent="0.25">
      <c r="B18" s="252">
        <v>5</v>
      </c>
      <c r="C18" s="456" t="s">
        <v>306</v>
      </c>
      <c r="D18" s="456"/>
      <c r="E18" s="456"/>
      <c r="F18" s="240">
        <f t="shared" si="0"/>
        <v>0</v>
      </c>
      <c r="G18" s="278"/>
      <c r="H18" s="279"/>
      <c r="I18" s="279"/>
      <c r="J18" s="280"/>
      <c r="K18" s="244">
        <f t="shared" si="1"/>
        <v>0</v>
      </c>
      <c r="L18" s="242"/>
      <c r="M18" s="281"/>
      <c r="N18" s="281"/>
      <c r="O18" s="281"/>
      <c r="P18" s="246"/>
      <c r="Q18" s="247"/>
      <c r="R18" s="250"/>
      <c r="S18" s="250"/>
      <c r="T18" s="250"/>
      <c r="U18" s="250"/>
    </row>
    <row r="19" spans="2:27" s="229" customFormat="1" ht="15" customHeight="1" x14ac:dyDescent="0.25">
      <c r="B19" s="252">
        <v>6</v>
      </c>
      <c r="C19" s="456" t="s">
        <v>310</v>
      </c>
      <c r="D19" s="456"/>
      <c r="E19" s="456"/>
      <c r="F19" s="240">
        <f t="shared" si="0"/>
        <v>0</v>
      </c>
      <c r="G19" s="248"/>
      <c r="H19" s="242"/>
      <c r="I19" s="242"/>
      <c r="J19" s="243"/>
      <c r="K19" s="244">
        <f t="shared" si="1"/>
        <v>0</v>
      </c>
      <c r="L19" s="242"/>
      <c r="M19" s="242"/>
      <c r="N19" s="242"/>
      <c r="O19" s="242"/>
      <c r="P19" s="246"/>
      <c r="Q19" s="247"/>
      <c r="R19" s="247"/>
      <c r="S19" s="247"/>
      <c r="T19" s="247"/>
      <c r="U19" s="247"/>
    </row>
    <row r="20" spans="2:27" s="229" customFormat="1" ht="15" customHeight="1" x14ac:dyDescent="0.25">
      <c r="B20" s="252">
        <v>7</v>
      </c>
      <c r="C20" s="452" t="s">
        <v>203</v>
      </c>
      <c r="D20" s="452"/>
      <c r="E20" s="452"/>
      <c r="F20" s="240">
        <f t="shared" si="0"/>
        <v>8878666.0600000005</v>
      </c>
      <c r="G20" s="249">
        <f t="shared" ref="G20:U20" si="2">SUMIF($G$37:$G$66,"Combined Summary",M$37:M$66) + SUMIF($F$37:$F$66,"Standalone",M$37:M$66)</f>
        <v>1937412.4700000002</v>
      </c>
      <c r="H20" s="250">
        <f t="shared" si="2"/>
        <v>0</v>
      </c>
      <c r="I20" s="250">
        <f t="shared" si="2"/>
        <v>0</v>
      </c>
      <c r="J20" s="251">
        <f t="shared" si="2"/>
        <v>130819.53000000001</v>
      </c>
      <c r="K20" s="246">
        <f t="shared" si="2"/>
        <v>6810434.0599999996</v>
      </c>
      <c r="L20" s="250">
        <f t="shared" si="2"/>
        <v>0</v>
      </c>
      <c r="M20" s="250">
        <f t="shared" si="2"/>
        <v>0</v>
      </c>
      <c r="N20" s="250">
        <f t="shared" si="2"/>
        <v>0</v>
      </c>
      <c r="O20" s="250">
        <f t="shared" si="2"/>
        <v>6810434.0599999996</v>
      </c>
      <c r="P20" s="247">
        <f t="shared" si="2"/>
        <v>0</v>
      </c>
      <c r="Q20" s="247">
        <f t="shared" si="2"/>
        <v>0</v>
      </c>
      <c r="R20" s="247">
        <f t="shared" si="2"/>
        <v>0</v>
      </c>
      <c r="S20" s="247">
        <f t="shared" si="2"/>
        <v>0</v>
      </c>
      <c r="T20" s="247">
        <f t="shared" si="2"/>
        <v>0</v>
      </c>
      <c r="U20" s="247">
        <f t="shared" si="2"/>
        <v>0</v>
      </c>
    </row>
    <row r="21" spans="2:27" s="229" customFormat="1" ht="30.95" customHeight="1" x14ac:dyDescent="0.25">
      <c r="B21" s="252">
        <v>8</v>
      </c>
      <c r="C21" s="487" t="s">
        <v>324</v>
      </c>
      <c r="D21" s="487"/>
      <c r="E21" s="487"/>
      <c r="F21" s="110">
        <f t="shared" ref="F21:U21" si="3">SUM(F14:F16,F19:F20)</f>
        <v>9658219.8900000006</v>
      </c>
      <c r="G21" s="109">
        <f t="shared" si="3"/>
        <v>1937412.4700000002</v>
      </c>
      <c r="H21" s="53">
        <f t="shared" si="3"/>
        <v>0</v>
      </c>
      <c r="I21" s="53">
        <f t="shared" si="3"/>
        <v>0</v>
      </c>
      <c r="J21" s="111">
        <f t="shared" si="3"/>
        <v>130819.53000000001</v>
      </c>
      <c r="K21" s="109">
        <f t="shared" si="3"/>
        <v>7589987.8899999997</v>
      </c>
      <c r="L21" s="53">
        <f t="shared" si="3"/>
        <v>0</v>
      </c>
      <c r="M21" s="53">
        <f t="shared" si="3"/>
        <v>0</v>
      </c>
      <c r="N21" s="53">
        <f t="shared" si="3"/>
        <v>0</v>
      </c>
      <c r="O21" s="53">
        <f t="shared" si="3"/>
        <v>7589987.8899999997</v>
      </c>
      <c r="P21" s="53">
        <f t="shared" si="3"/>
        <v>0</v>
      </c>
      <c r="Q21" s="53">
        <f t="shared" si="3"/>
        <v>0</v>
      </c>
      <c r="R21" s="53">
        <f t="shared" si="3"/>
        <v>0</v>
      </c>
      <c r="S21" s="53">
        <f t="shared" si="3"/>
        <v>0</v>
      </c>
      <c r="T21" s="53">
        <f t="shared" si="3"/>
        <v>0</v>
      </c>
      <c r="U21" s="53">
        <f t="shared" si="3"/>
        <v>0</v>
      </c>
    </row>
    <row r="22" spans="2:27" s="229" customFormat="1" ht="30.95" customHeight="1" x14ac:dyDescent="0.25">
      <c r="B22" s="252">
        <v>9</v>
      </c>
      <c r="C22" s="487" t="s">
        <v>281</v>
      </c>
      <c r="D22" s="487"/>
      <c r="E22" s="487"/>
      <c r="F22" s="110"/>
      <c r="G22" s="109"/>
      <c r="H22" s="53"/>
      <c r="I22" s="53"/>
      <c r="J22" s="111"/>
      <c r="K22" s="109">
        <f>SUM(L22,M22:U22)</f>
        <v>22896975.369999997</v>
      </c>
      <c r="L22" s="53">
        <f>'2. Component Summary'!E27+'2. Component Summary'!E32</f>
        <v>119954.7</v>
      </c>
      <c r="M22" s="53">
        <f>'2. Component Summary'!E30+'2. Component Summary'!E31</f>
        <v>8625126.6699999999</v>
      </c>
      <c r="N22" s="53">
        <f>'2. Component Summary'!E26</f>
        <v>6514521</v>
      </c>
      <c r="O22" s="53">
        <f>'2. Component Summary'!E25</f>
        <v>7637373</v>
      </c>
      <c r="P22" s="53">
        <f>'2. Component Summary'!E24</f>
        <v>0</v>
      </c>
      <c r="Q22" s="53">
        <f>'2. Component Summary'!E23</f>
        <v>0</v>
      </c>
      <c r="R22" s="53">
        <f>'2. Component Summary'!E22</f>
        <v>0</v>
      </c>
      <c r="S22" s="53">
        <f>'2. Component Summary'!E21</f>
        <v>0</v>
      </c>
      <c r="T22" s="53">
        <f>'2. Component Summary'!E20</f>
        <v>0</v>
      </c>
      <c r="U22" s="53">
        <f>'2. Component Summary'!E19</f>
        <v>0</v>
      </c>
    </row>
    <row r="23" spans="2:27" ht="15.75" x14ac:dyDescent="0.25">
      <c r="C23" s="227"/>
      <c r="D23" s="7"/>
      <c r="E23" s="7"/>
      <c r="F23" s="7"/>
      <c r="G23" s="170"/>
      <c r="H23" s="7"/>
      <c r="I23" s="229"/>
      <c r="J23" s="229"/>
      <c r="K23" s="229"/>
      <c r="L23" s="229"/>
      <c r="M23" s="229"/>
      <c r="N23" s="229"/>
      <c r="O23" s="229"/>
      <c r="P23" s="229"/>
      <c r="Q23" s="229"/>
      <c r="R23" s="229"/>
      <c r="S23" s="229"/>
      <c r="T23" s="229"/>
      <c r="U23" s="282"/>
      <c r="V23" s="229"/>
      <c r="W23" s="229"/>
    </row>
    <row r="24" spans="2:27" ht="18.75" thickBot="1" x14ac:dyDescent="0.3">
      <c r="B24" s="398" t="s">
        <v>386</v>
      </c>
      <c r="C24" s="141"/>
      <c r="D24" s="141"/>
      <c r="E24" s="141"/>
      <c r="F24" s="171"/>
      <c r="G24" s="141"/>
      <c r="H24" s="233"/>
      <c r="I24" s="233"/>
      <c r="J24" s="233"/>
      <c r="K24" s="233"/>
      <c r="L24" s="233"/>
      <c r="M24" s="233"/>
      <c r="N24" s="233"/>
      <c r="O24" s="233"/>
      <c r="P24" s="233"/>
      <c r="Q24" s="233"/>
      <c r="R24" s="233"/>
      <c r="S24" s="233"/>
      <c r="T24" s="283"/>
      <c r="U24" s="283"/>
      <c r="V24" s="229"/>
    </row>
    <row r="25" spans="2:27" ht="16.5" thickTop="1" x14ac:dyDescent="0.25">
      <c r="C25" s="7"/>
      <c r="D25" s="7"/>
      <c r="E25" s="7"/>
      <c r="F25" s="7"/>
      <c r="G25" s="170"/>
      <c r="H25" s="7"/>
      <c r="I25" s="229"/>
      <c r="J25" s="229"/>
      <c r="K25" s="229"/>
      <c r="L25" s="229"/>
      <c r="M25" s="229"/>
      <c r="N25" s="229"/>
      <c r="O25" s="229"/>
      <c r="P25" s="229"/>
      <c r="Q25" s="229"/>
      <c r="R25" s="229"/>
      <c r="S25" s="229"/>
      <c r="T25" s="229"/>
      <c r="U25" s="282"/>
      <c r="V25" s="282"/>
      <c r="W25" s="229"/>
      <c r="X25" s="229"/>
      <c r="Y25" s="229"/>
    </row>
    <row r="26" spans="2:27" ht="15.75" x14ac:dyDescent="0.25">
      <c r="C26" s="7"/>
      <c r="D26" s="7"/>
      <c r="E26" s="7"/>
      <c r="F26" s="73" t="s">
        <v>59</v>
      </c>
      <c r="G26" s="172" t="s">
        <v>61</v>
      </c>
      <c r="H26" s="7"/>
      <c r="I26" s="229"/>
      <c r="J26" s="229"/>
      <c r="K26" s="229"/>
      <c r="L26" s="229"/>
      <c r="M26" s="229"/>
      <c r="N26" s="229"/>
      <c r="O26" s="229"/>
      <c r="P26" s="229"/>
      <c r="Q26" s="229"/>
      <c r="R26" s="229"/>
      <c r="S26" s="229"/>
      <c r="T26" s="229"/>
      <c r="U26" s="282"/>
      <c r="V26" s="282"/>
      <c r="W26" s="229"/>
      <c r="X26" s="229"/>
      <c r="Y26" s="229"/>
    </row>
    <row r="27" spans="2:27" ht="15" customHeight="1" x14ac:dyDescent="0.2">
      <c r="B27" s="217"/>
      <c r="C27" s="217"/>
      <c r="D27" s="217"/>
      <c r="E27" s="217"/>
      <c r="F27" s="480" t="s">
        <v>331</v>
      </c>
      <c r="G27" s="478" t="s">
        <v>330</v>
      </c>
      <c r="H27" s="229"/>
      <c r="I27" s="229"/>
      <c r="J27" s="229"/>
      <c r="K27" s="229"/>
      <c r="L27" s="229"/>
      <c r="M27" s="229"/>
      <c r="N27" s="229"/>
      <c r="O27" s="229"/>
      <c r="P27" s="229"/>
      <c r="Q27" s="229"/>
      <c r="R27" s="229"/>
      <c r="S27" s="229"/>
      <c r="T27" s="282"/>
      <c r="U27" s="282"/>
      <c r="V27" s="229"/>
      <c r="W27" s="229"/>
      <c r="X27" s="229"/>
    </row>
    <row r="28" spans="2:27" ht="15" customHeight="1" x14ac:dyDescent="0.2">
      <c r="B28" s="217"/>
      <c r="C28" s="217"/>
      <c r="D28" s="217"/>
      <c r="E28" s="217"/>
      <c r="F28" s="480"/>
      <c r="G28" s="478"/>
      <c r="H28" s="229"/>
      <c r="I28" s="229"/>
      <c r="J28" s="229"/>
      <c r="K28" s="229"/>
      <c r="L28" s="229"/>
      <c r="M28" s="229"/>
      <c r="N28" s="229"/>
      <c r="O28" s="229"/>
      <c r="P28" s="229"/>
      <c r="Q28" s="229"/>
      <c r="R28" s="229"/>
      <c r="S28" s="229"/>
      <c r="T28" s="282"/>
      <c r="U28" s="282"/>
      <c r="V28" s="229"/>
      <c r="W28" s="229"/>
      <c r="X28" s="229"/>
    </row>
    <row r="29" spans="2:27" x14ac:dyDescent="0.2">
      <c r="B29" s="217"/>
      <c r="C29" s="217"/>
      <c r="D29" s="217"/>
      <c r="E29" s="217"/>
      <c r="F29" s="480"/>
      <c r="G29" s="479"/>
      <c r="H29" s="229"/>
      <c r="I29" s="229"/>
      <c r="J29" s="229"/>
      <c r="K29" s="229"/>
      <c r="L29" s="229"/>
      <c r="M29" s="229"/>
      <c r="N29" s="229"/>
      <c r="O29" s="229"/>
      <c r="P29" s="229"/>
      <c r="Q29" s="229"/>
      <c r="R29" s="229"/>
      <c r="S29" s="229"/>
      <c r="T29" s="282"/>
      <c r="U29" s="284"/>
      <c r="V29" s="285"/>
      <c r="W29" s="229"/>
      <c r="X29" s="229"/>
    </row>
    <row r="30" spans="2:27" ht="51.75" customHeight="1" x14ac:dyDescent="0.25">
      <c r="B30" s="286">
        <v>1</v>
      </c>
      <c r="C30" s="475" t="s">
        <v>349</v>
      </c>
      <c r="D30" s="476"/>
      <c r="E30" s="477"/>
      <c r="F30" s="56">
        <f>IF(K21=0,"",((SUMPRODUCT($K$37:$K$66,$Q$37:$Q$66)+(K19*G30))/$K$21))</f>
        <v>0.48616813492702421</v>
      </c>
      <c r="G30" s="181"/>
      <c r="H30" s="229"/>
      <c r="I30" s="229"/>
      <c r="J30" s="229"/>
      <c r="K30" s="229"/>
      <c r="L30" s="229"/>
      <c r="M30" s="229"/>
      <c r="N30" s="229"/>
      <c r="O30" s="229"/>
      <c r="P30" s="229"/>
      <c r="Q30" s="229"/>
      <c r="R30" s="229"/>
      <c r="S30" s="229"/>
      <c r="T30" s="282"/>
      <c r="U30" s="282"/>
      <c r="V30" s="229"/>
      <c r="W30" s="229"/>
      <c r="X30" s="229"/>
    </row>
    <row r="31" spans="2:27" s="217" customFormat="1" x14ac:dyDescent="0.2"/>
    <row r="32" spans="2:27" ht="18.75" thickBot="1" x14ac:dyDescent="0.3">
      <c r="B32" s="398" t="s">
        <v>387</v>
      </c>
      <c r="C32" s="173"/>
      <c r="D32" s="173"/>
      <c r="E32" s="173"/>
      <c r="F32" s="174"/>
      <c r="G32" s="141"/>
      <c r="H32" s="233"/>
      <c r="I32" s="233"/>
      <c r="J32" s="233"/>
      <c r="K32" s="233"/>
      <c r="L32" s="233"/>
      <c r="M32" s="233"/>
      <c r="N32" s="233"/>
      <c r="O32" s="233"/>
      <c r="P32" s="233"/>
      <c r="Q32" s="233"/>
      <c r="R32" s="233"/>
      <c r="S32" s="233"/>
      <c r="T32" s="283"/>
      <c r="U32" s="283"/>
      <c r="V32" s="233"/>
      <c r="W32" s="233"/>
      <c r="X32" s="233"/>
      <c r="Y32" s="231"/>
      <c r="Z32" s="231"/>
      <c r="AA32" s="231"/>
    </row>
    <row r="33" spans="2:27" ht="16.5" thickTop="1" x14ac:dyDescent="0.25">
      <c r="C33" s="7"/>
      <c r="D33" s="9"/>
      <c r="E33" s="9"/>
      <c r="F33" s="9"/>
      <c r="G33" s="175"/>
      <c r="H33" s="7"/>
      <c r="I33" s="229"/>
      <c r="J33" s="229"/>
      <c r="K33" s="229"/>
      <c r="L33" s="229"/>
      <c r="M33" s="229"/>
      <c r="N33" s="229"/>
      <c r="O33" s="229"/>
      <c r="P33" s="229"/>
      <c r="Q33" s="229"/>
      <c r="R33" s="229"/>
      <c r="S33" s="229"/>
      <c r="T33" s="229"/>
      <c r="U33" s="282"/>
      <c r="V33" s="282"/>
      <c r="W33" s="229"/>
      <c r="X33" s="229"/>
      <c r="Y33" s="229"/>
    </row>
    <row r="34" spans="2:27" x14ac:dyDescent="0.2">
      <c r="C34" s="74" t="s">
        <v>59</v>
      </c>
      <c r="D34" s="74" t="s">
        <v>61</v>
      </c>
      <c r="E34" s="74" t="s">
        <v>65</v>
      </c>
      <c r="F34" s="172" t="s">
        <v>350</v>
      </c>
      <c r="G34" s="73" t="s">
        <v>351</v>
      </c>
      <c r="H34" s="252" t="s">
        <v>352</v>
      </c>
      <c r="I34" s="252" t="s">
        <v>361</v>
      </c>
      <c r="J34" s="252" t="s">
        <v>353</v>
      </c>
      <c r="K34" s="252" t="s">
        <v>354</v>
      </c>
      <c r="L34" s="257" t="s">
        <v>355</v>
      </c>
      <c r="M34" s="258" t="s">
        <v>356</v>
      </c>
      <c r="N34" s="252" t="s">
        <v>357</v>
      </c>
      <c r="O34" s="252" t="s">
        <v>358</v>
      </c>
      <c r="P34" s="257" t="s">
        <v>359</v>
      </c>
      <c r="Q34" s="258" t="s">
        <v>360</v>
      </c>
      <c r="R34" s="252" t="s">
        <v>362</v>
      </c>
      <c r="S34" s="252" t="s">
        <v>364</v>
      </c>
      <c r="T34" s="287" t="s">
        <v>365</v>
      </c>
      <c r="U34" s="287" t="s">
        <v>366</v>
      </c>
      <c r="V34" s="252" t="s">
        <v>367</v>
      </c>
      <c r="W34" s="252" t="s">
        <v>369</v>
      </c>
      <c r="X34" s="252" t="s">
        <v>370</v>
      </c>
      <c r="Y34" s="219" t="s">
        <v>371</v>
      </c>
      <c r="Z34" s="219" t="s">
        <v>325</v>
      </c>
      <c r="AA34" s="219" t="s">
        <v>326</v>
      </c>
    </row>
    <row r="35" spans="2:27" ht="15.75" x14ac:dyDescent="0.25">
      <c r="C35" s="449" t="s">
        <v>220</v>
      </c>
      <c r="D35" s="449"/>
      <c r="E35" s="449"/>
      <c r="F35" s="449"/>
      <c r="G35" s="449"/>
      <c r="H35" s="449"/>
      <c r="I35" s="449"/>
      <c r="J35" s="449"/>
      <c r="K35" s="449"/>
      <c r="L35" s="455"/>
      <c r="M35" s="482" t="s">
        <v>62</v>
      </c>
      <c r="N35" s="483"/>
      <c r="O35" s="483"/>
      <c r="P35" s="484"/>
      <c r="Q35" s="482" t="s">
        <v>60</v>
      </c>
      <c r="R35" s="483"/>
      <c r="S35" s="483"/>
      <c r="T35" s="483"/>
      <c r="U35" s="483"/>
      <c r="V35" s="483"/>
      <c r="W35" s="483"/>
      <c r="X35" s="483"/>
      <c r="Y35" s="483"/>
      <c r="Z35" s="483"/>
      <c r="AA35" s="483"/>
    </row>
    <row r="36" spans="2:27" s="288" customFormat="1" ht="110.25" x14ac:dyDescent="0.25">
      <c r="B36" s="286" t="s">
        <v>177</v>
      </c>
      <c r="C36" s="176" t="s">
        <v>20</v>
      </c>
      <c r="D36" s="177" t="s">
        <v>19</v>
      </c>
      <c r="E36" s="81" t="s">
        <v>5</v>
      </c>
      <c r="F36" s="81" t="s">
        <v>194</v>
      </c>
      <c r="G36" s="81" t="s">
        <v>139</v>
      </c>
      <c r="H36" s="81" t="s">
        <v>282</v>
      </c>
      <c r="I36" s="81" t="s">
        <v>195</v>
      </c>
      <c r="J36" s="81" t="s">
        <v>328</v>
      </c>
      <c r="K36" s="144" t="s">
        <v>329</v>
      </c>
      <c r="L36" s="178" t="s">
        <v>6</v>
      </c>
      <c r="M36" s="130" t="s">
        <v>7</v>
      </c>
      <c r="N36" s="81" t="s">
        <v>8</v>
      </c>
      <c r="O36" s="81" t="s">
        <v>9</v>
      </c>
      <c r="P36" s="134" t="s">
        <v>10</v>
      </c>
      <c r="Q36" s="179" t="s">
        <v>389</v>
      </c>
      <c r="R36" s="81" t="s">
        <v>277</v>
      </c>
      <c r="S36" s="81" t="s">
        <v>11</v>
      </c>
      <c r="T36" s="81" t="s">
        <v>12</v>
      </c>
      <c r="U36" s="81" t="s">
        <v>13</v>
      </c>
      <c r="V36" s="144" t="s">
        <v>14</v>
      </c>
      <c r="W36" s="144" t="s">
        <v>15</v>
      </c>
      <c r="X36" s="144" t="s">
        <v>171</v>
      </c>
      <c r="Y36" s="180" t="s">
        <v>172</v>
      </c>
      <c r="Z36" s="144" t="s">
        <v>173</v>
      </c>
      <c r="AA36" s="144" t="s">
        <v>174</v>
      </c>
    </row>
    <row r="37" spans="2:27" x14ac:dyDescent="0.2">
      <c r="B37" s="219">
        <v>1</v>
      </c>
      <c r="C37" s="289">
        <f t="shared" ref="C37:C66" si="4">IF(AND(NOT(COUNTA(D37:J37)),(NOT(COUNTA(M37:P37))),(NOT(COUNTA(R37:AA37)))),"",VLOOKUP($D$7,Info_County_Code,2,FALSE))</f>
        <v>10</v>
      </c>
      <c r="D37" s="438" t="s">
        <v>455</v>
      </c>
      <c r="E37" s="438" t="s">
        <v>467</v>
      </c>
      <c r="F37" s="263" t="s">
        <v>197</v>
      </c>
      <c r="G37" s="226" t="s">
        <v>327</v>
      </c>
      <c r="H37" s="438"/>
      <c r="I37" s="291"/>
      <c r="J37" s="291"/>
      <c r="K37" s="292">
        <f t="shared" ref="K37:K66" si="5">IF(OR(G37="Combined Summary",F37="Standalone"),(SUMPRODUCT(--(D$37:D$66=D37),I$37:I$66,J$37:J$66)),"")</f>
        <v>0</v>
      </c>
      <c r="L37" s="240">
        <f>IF(AND(G37="Combined Summary",F37="Combined"),SUM(M37:Q37),IF(F37="Standalone",SUM(M37:Q37),""))</f>
        <v>550137.03</v>
      </c>
      <c r="M37" s="293">
        <v>1277.79</v>
      </c>
      <c r="N37" s="242"/>
      <c r="O37" s="242"/>
      <c r="P37" s="243">
        <v>137.19999999999999</v>
      </c>
      <c r="Q37" s="244">
        <f>SUM(R37,S37:AA37)</f>
        <v>548722.04</v>
      </c>
      <c r="R37" s="242"/>
      <c r="S37" s="242"/>
      <c r="T37" s="242"/>
      <c r="U37" s="242">
        <v>548722.04</v>
      </c>
      <c r="V37" s="246"/>
      <c r="W37" s="247"/>
      <c r="X37" s="247"/>
      <c r="Y37" s="247"/>
      <c r="Z37" s="247"/>
      <c r="AA37" s="247"/>
    </row>
    <row r="38" spans="2:27" x14ac:dyDescent="0.2">
      <c r="B38" s="219">
        <v>2</v>
      </c>
      <c r="C38" s="289">
        <f t="shared" si="4"/>
        <v>10</v>
      </c>
      <c r="D38" s="438"/>
      <c r="E38" s="438"/>
      <c r="F38" s="263"/>
      <c r="G38" s="226" t="s">
        <v>175</v>
      </c>
      <c r="H38" s="226" t="s">
        <v>175</v>
      </c>
      <c r="I38" s="291">
        <v>0.5</v>
      </c>
      <c r="J38" s="291">
        <v>1</v>
      </c>
      <c r="K38" s="292" t="str">
        <f t="shared" si="5"/>
        <v/>
      </c>
      <c r="L38" s="240" t="str">
        <f t="shared" ref="L38:L66" si="6">IF(AND(G38="Combined Summary",F38="Combined"),SUM(M38:Q38),IF(F38="Standalone",SUM(M38:Q38),""))</f>
        <v/>
      </c>
      <c r="M38" s="293"/>
      <c r="N38" s="242"/>
      <c r="O38" s="242"/>
      <c r="P38" s="243"/>
      <c r="Q38" s="244">
        <f t="shared" ref="Q38:Q66" si="7">SUM(R38,S38:AA38)</f>
        <v>0</v>
      </c>
      <c r="R38" s="242"/>
      <c r="S38" s="242"/>
      <c r="T38" s="242"/>
      <c r="U38" s="242"/>
      <c r="V38" s="246"/>
      <c r="W38" s="247"/>
      <c r="X38" s="247"/>
      <c r="Y38" s="247"/>
      <c r="Z38" s="247"/>
      <c r="AA38" s="247"/>
    </row>
    <row r="39" spans="2:27" x14ac:dyDescent="0.2">
      <c r="B39" s="219">
        <v>3</v>
      </c>
      <c r="C39" s="289">
        <f t="shared" si="4"/>
        <v>10</v>
      </c>
      <c r="D39" s="438"/>
      <c r="E39" s="438"/>
      <c r="F39" s="263"/>
      <c r="G39" s="226" t="s">
        <v>201</v>
      </c>
      <c r="H39" s="226" t="s">
        <v>201</v>
      </c>
      <c r="I39" s="291">
        <v>0.5</v>
      </c>
      <c r="J39" s="291">
        <v>1</v>
      </c>
      <c r="K39" s="292" t="str">
        <f t="shared" si="5"/>
        <v/>
      </c>
      <c r="L39" s="240" t="str">
        <f t="shared" si="6"/>
        <v/>
      </c>
      <c r="M39" s="293"/>
      <c r="N39" s="242"/>
      <c r="O39" s="242"/>
      <c r="P39" s="243"/>
      <c r="Q39" s="244">
        <f t="shared" si="7"/>
        <v>0</v>
      </c>
      <c r="R39" s="242"/>
      <c r="S39" s="242"/>
      <c r="T39" s="242"/>
      <c r="U39" s="242"/>
      <c r="V39" s="246"/>
      <c r="W39" s="247"/>
      <c r="X39" s="247"/>
      <c r="Y39" s="247"/>
      <c r="Z39" s="247"/>
      <c r="AA39" s="247"/>
    </row>
    <row r="40" spans="2:27" x14ac:dyDescent="0.2">
      <c r="B40" s="219">
        <v>4</v>
      </c>
      <c r="C40" s="289">
        <f t="shared" si="4"/>
        <v>10</v>
      </c>
      <c r="D40" s="438" t="s">
        <v>475</v>
      </c>
      <c r="E40" s="437" t="s">
        <v>456</v>
      </c>
      <c r="F40" s="263" t="s">
        <v>196</v>
      </c>
      <c r="G40" s="226" t="s">
        <v>180</v>
      </c>
      <c r="H40" s="263"/>
      <c r="I40" s="291">
        <v>1</v>
      </c>
      <c r="J40" s="291">
        <v>0.55000000000000004</v>
      </c>
      <c r="K40" s="292">
        <f t="shared" si="5"/>
        <v>0.55000000000000004</v>
      </c>
      <c r="L40" s="240">
        <f t="shared" si="6"/>
        <v>1245081.78</v>
      </c>
      <c r="M40" s="293"/>
      <c r="N40" s="242"/>
      <c r="O40" s="242"/>
      <c r="P40" s="243"/>
      <c r="Q40" s="244">
        <f t="shared" si="7"/>
        <v>1245081.78</v>
      </c>
      <c r="R40" s="242"/>
      <c r="S40" s="242"/>
      <c r="T40" s="242"/>
      <c r="U40" s="242">
        <v>1245081.78</v>
      </c>
      <c r="V40" s="246"/>
      <c r="W40" s="247"/>
      <c r="X40" s="247"/>
      <c r="Y40" s="247"/>
      <c r="Z40" s="247"/>
      <c r="AA40" s="247"/>
    </row>
    <row r="41" spans="2:27" x14ac:dyDescent="0.2">
      <c r="B41" s="219">
        <v>5</v>
      </c>
      <c r="C41" s="289">
        <f t="shared" si="4"/>
        <v>10</v>
      </c>
      <c r="D41" s="438" t="s">
        <v>457</v>
      </c>
      <c r="E41" s="436"/>
      <c r="F41" s="263" t="s">
        <v>196</v>
      </c>
      <c r="G41" s="226" t="s">
        <v>180</v>
      </c>
      <c r="H41" s="263"/>
      <c r="I41" s="291">
        <v>1</v>
      </c>
      <c r="J41" s="291">
        <v>0.1</v>
      </c>
      <c r="K41" s="292">
        <f t="shared" si="5"/>
        <v>0.1</v>
      </c>
      <c r="L41" s="240">
        <f t="shared" si="6"/>
        <v>309187.78999999998</v>
      </c>
      <c r="M41" s="293"/>
      <c r="N41" s="242"/>
      <c r="O41" s="242"/>
      <c r="P41" s="243"/>
      <c r="Q41" s="244">
        <f t="shared" si="7"/>
        <v>309187.78999999998</v>
      </c>
      <c r="R41" s="242"/>
      <c r="S41" s="242"/>
      <c r="T41" s="242"/>
      <c r="U41" s="242">
        <v>309187.78999999998</v>
      </c>
      <c r="V41" s="246"/>
      <c r="W41" s="247"/>
      <c r="X41" s="247"/>
      <c r="Y41" s="247"/>
      <c r="Z41" s="247"/>
      <c r="AA41" s="247"/>
    </row>
    <row r="42" spans="2:27" x14ac:dyDescent="0.2">
      <c r="B42" s="252">
        <v>6</v>
      </c>
      <c r="C42" s="289">
        <f t="shared" si="4"/>
        <v>10</v>
      </c>
      <c r="D42" s="438" t="s">
        <v>470</v>
      </c>
      <c r="E42" s="438" t="s">
        <v>458</v>
      </c>
      <c r="F42" s="263" t="s">
        <v>196</v>
      </c>
      <c r="G42" s="263" t="s">
        <v>175</v>
      </c>
      <c r="H42" s="263"/>
      <c r="I42" s="291">
        <v>1</v>
      </c>
      <c r="J42" s="291">
        <v>0.41</v>
      </c>
      <c r="K42" s="292">
        <f t="shared" si="5"/>
        <v>0.41</v>
      </c>
      <c r="L42" s="240">
        <f t="shared" si="6"/>
        <v>293328.7</v>
      </c>
      <c r="M42" s="293">
        <v>118448.12</v>
      </c>
      <c r="N42" s="242"/>
      <c r="O42" s="242"/>
      <c r="P42" s="243">
        <v>2281.79</v>
      </c>
      <c r="Q42" s="244">
        <f t="shared" si="7"/>
        <v>172598.79</v>
      </c>
      <c r="R42" s="242"/>
      <c r="S42" s="242"/>
      <c r="T42" s="242"/>
      <c r="U42" s="242">
        <v>172598.79</v>
      </c>
      <c r="V42" s="246"/>
      <c r="W42" s="247"/>
      <c r="X42" s="247"/>
      <c r="Y42" s="247"/>
      <c r="Z42" s="247"/>
      <c r="AA42" s="247"/>
    </row>
    <row r="43" spans="2:27" x14ac:dyDescent="0.2">
      <c r="B43" s="219">
        <v>7</v>
      </c>
      <c r="C43" s="289">
        <f t="shared" si="4"/>
        <v>10</v>
      </c>
      <c r="D43" s="438" t="s">
        <v>469</v>
      </c>
      <c r="E43" s="438" t="s">
        <v>459</v>
      </c>
      <c r="F43" s="263" t="s">
        <v>196</v>
      </c>
      <c r="G43" s="226" t="s">
        <v>198</v>
      </c>
      <c r="H43" s="263"/>
      <c r="I43" s="291">
        <v>1</v>
      </c>
      <c r="J43" s="291">
        <v>0.1</v>
      </c>
      <c r="K43" s="292">
        <f t="shared" si="5"/>
        <v>0.1</v>
      </c>
      <c r="L43" s="240">
        <f t="shared" si="6"/>
        <v>377604.24</v>
      </c>
      <c r="M43" s="293"/>
      <c r="N43" s="242"/>
      <c r="O43" s="242"/>
      <c r="P43" s="243"/>
      <c r="Q43" s="244">
        <f t="shared" si="7"/>
        <v>377604.24</v>
      </c>
      <c r="R43" s="242"/>
      <c r="S43" s="242"/>
      <c r="T43" s="242"/>
      <c r="U43" s="242">
        <v>377604.24</v>
      </c>
      <c r="V43" s="246"/>
      <c r="W43" s="247"/>
      <c r="X43" s="247"/>
      <c r="Y43" s="247"/>
      <c r="Z43" s="247"/>
      <c r="AA43" s="247"/>
    </row>
    <row r="44" spans="2:27" x14ac:dyDescent="0.2">
      <c r="B44" s="219">
        <v>8</v>
      </c>
      <c r="C44" s="289">
        <f t="shared" si="4"/>
        <v>10</v>
      </c>
      <c r="D44" s="438" t="s">
        <v>471</v>
      </c>
      <c r="E44" s="438" t="s">
        <v>438</v>
      </c>
      <c r="F44" s="263" t="s">
        <v>196</v>
      </c>
      <c r="G44" s="226" t="s">
        <v>181</v>
      </c>
      <c r="H44" s="226"/>
      <c r="I44" s="291">
        <v>1</v>
      </c>
      <c r="J44" s="291">
        <v>1</v>
      </c>
      <c r="K44" s="292">
        <f t="shared" si="5"/>
        <v>1</v>
      </c>
      <c r="L44" s="240">
        <f t="shared" si="6"/>
        <v>1185421.3500000001</v>
      </c>
      <c r="M44" s="293">
        <v>394138.79</v>
      </c>
      <c r="N44" s="242"/>
      <c r="O44" s="242"/>
      <c r="P44" s="243">
        <v>285</v>
      </c>
      <c r="Q44" s="244">
        <f t="shared" si="7"/>
        <v>790997.56</v>
      </c>
      <c r="R44" s="242"/>
      <c r="S44" s="245"/>
      <c r="T44" s="245"/>
      <c r="U44" s="245">
        <v>790997.56</v>
      </c>
      <c r="V44" s="246"/>
      <c r="W44" s="247"/>
      <c r="X44" s="247"/>
      <c r="Y44" s="247"/>
      <c r="Z44" s="247"/>
      <c r="AA44" s="247"/>
    </row>
    <row r="45" spans="2:27" x14ac:dyDescent="0.2">
      <c r="B45" s="219">
        <v>9</v>
      </c>
      <c r="C45" s="289">
        <f t="shared" si="4"/>
        <v>10</v>
      </c>
      <c r="D45" s="438" t="s">
        <v>460</v>
      </c>
      <c r="E45" s="436"/>
      <c r="F45" s="263" t="s">
        <v>196</v>
      </c>
      <c r="G45" s="226" t="s">
        <v>180</v>
      </c>
      <c r="H45" s="438"/>
      <c r="I45" s="291">
        <v>1</v>
      </c>
      <c r="J45" s="291">
        <v>0.44</v>
      </c>
      <c r="K45" s="292">
        <f t="shared" si="5"/>
        <v>0.44</v>
      </c>
      <c r="L45" s="240">
        <f t="shared" si="6"/>
        <v>461075.20000000001</v>
      </c>
      <c r="M45" s="293"/>
      <c r="N45" s="242"/>
      <c r="O45" s="242"/>
      <c r="P45" s="243"/>
      <c r="Q45" s="244">
        <f t="shared" si="7"/>
        <v>461075.20000000001</v>
      </c>
      <c r="R45" s="242"/>
      <c r="S45" s="245"/>
      <c r="T45" s="245"/>
      <c r="U45" s="245">
        <v>461075.20000000001</v>
      </c>
      <c r="V45" s="246"/>
      <c r="W45" s="247"/>
      <c r="X45" s="247"/>
      <c r="Y45" s="247"/>
      <c r="Z45" s="247"/>
      <c r="AA45" s="247"/>
    </row>
    <row r="46" spans="2:27" x14ac:dyDescent="0.2">
      <c r="B46" s="219">
        <v>10</v>
      </c>
      <c r="C46" s="289">
        <f t="shared" si="4"/>
        <v>10</v>
      </c>
      <c r="D46" s="438" t="s">
        <v>472</v>
      </c>
      <c r="E46" s="438" t="s">
        <v>461</v>
      </c>
      <c r="F46" s="263" t="s">
        <v>196</v>
      </c>
      <c r="G46" s="226" t="s">
        <v>181</v>
      </c>
      <c r="H46" s="226"/>
      <c r="I46" s="291">
        <v>1</v>
      </c>
      <c r="J46" s="291">
        <v>0.44</v>
      </c>
      <c r="K46" s="292">
        <f t="shared" si="5"/>
        <v>0.44</v>
      </c>
      <c r="L46" s="240">
        <f t="shared" si="6"/>
        <v>302639.18</v>
      </c>
      <c r="M46" s="293"/>
      <c r="N46" s="242"/>
      <c r="O46" s="242"/>
      <c r="P46" s="243"/>
      <c r="Q46" s="244">
        <f t="shared" si="7"/>
        <v>302639.18</v>
      </c>
      <c r="R46" s="242"/>
      <c r="S46" s="245"/>
      <c r="T46" s="245"/>
      <c r="U46" s="245">
        <v>302639.18</v>
      </c>
      <c r="V46" s="246"/>
      <c r="W46" s="247"/>
      <c r="X46" s="247"/>
      <c r="Y46" s="247"/>
      <c r="Z46" s="247"/>
      <c r="AA46" s="247"/>
    </row>
    <row r="47" spans="2:27" x14ac:dyDescent="0.2">
      <c r="B47" s="219">
        <v>11</v>
      </c>
      <c r="C47" s="289">
        <f t="shared" si="4"/>
        <v>10</v>
      </c>
      <c r="D47" s="438" t="s">
        <v>474</v>
      </c>
      <c r="E47" s="438" t="s">
        <v>462</v>
      </c>
      <c r="F47" s="263" t="s">
        <v>197</v>
      </c>
      <c r="G47" s="226" t="s">
        <v>327</v>
      </c>
      <c r="H47" s="226"/>
      <c r="I47" s="291"/>
      <c r="J47" s="291"/>
      <c r="K47" s="292">
        <f t="shared" si="5"/>
        <v>0</v>
      </c>
      <c r="L47" s="240">
        <f t="shared" si="6"/>
        <v>110823.85</v>
      </c>
      <c r="M47" s="293"/>
      <c r="N47" s="242"/>
      <c r="O47" s="242"/>
      <c r="P47" s="243"/>
      <c r="Q47" s="244">
        <f t="shared" si="7"/>
        <v>110823.85</v>
      </c>
      <c r="R47" s="242"/>
      <c r="S47" s="245"/>
      <c r="T47" s="245"/>
      <c r="U47" s="245">
        <v>110823.85</v>
      </c>
      <c r="V47" s="246"/>
      <c r="W47" s="247"/>
      <c r="X47" s="247"/>
      <c r="Y47" s="247"/>
      <c r="Z47" s="247"/>
      <c r="AA47" s="247"/>
    </row>
    <row r="48" spans="2:27" x14ac:dyDescent="0.2">
      <c r="B48" s="219">
        <v>12</v>
      </c>
      <c r="C48" s="289">
        <f t="shared" ref="C48:C54" si="8">IF(AND(NOT(COUNTA(D48:J48)),(NOT(COUNTA(M48:P48))),(NOT(COUNTA(R48:AA48)))),"",VLOOKUP($D$7,Info_County_Code,2,FALSE))</f>
        <v>10</v>
      </c>
      <c r="D48" s="438"/>
      <c r="E48" s="438"/>
      <c r="F48" s="263"/>
      <c r="G48" s="226" t="s">
        <v>198</v>
      </c>
      <c r="H48" s="226" t="s">
        <v>198</v>
      </c>
      <c r="I48" s="291">
        <v>0.8</v>
      </c>
      <c r="J48" s="291">
        <v>0.27</v>
      </c>
      <c r="K48" s="292" t="str">
        <f t="shared" ref="K48:K54" si="9">IF(OR(G48="Combined Summary",F48="Standalone"),(SUMPRODUCT(--(D$37:D$66=D48),I$37:I$66,J$37:J$66)),"")</f>
        <v/>
      </c>
      <c r="L48" s="240" t="str">
        <f t="shared" ref="L48:L54" si="10">IF(AND(G48="Combined Summary",F48="Combined"),SUM(M48:Q48),IF(F48="Standalone",SUM(M48:Q48),""))</f>
        <v/>
      </c>
      <c r="M48" s="293"/>
      <c r="N48" s="242"/>
      <c r="O48" s="242"/>
      <c r="P48" s="243"/>
      <c r="Q48" s="244">
        <f t="shared" si="7"/>
        <v>0</v>
      </c>
      <c r="R48" s="242"/>
      <c r="S48" s="245"/>
      <c r="T48" s="245"/>
      <c r="U48" s="245"/>
      <c r="V48" s="246"/>
      <c r="W48" s="247"/>
      <c r="X48" s="247"/>
      <c r="Y48" s="247"/>
      <c r="Z48" s="247"/>
      <c r="AA48" s="247"/>
    </row>
    <row r="49" spans="2:27" x14ac:dyDescent="0.2">
      <c r="B49" s="219">
        <v>13</v>
      </c>
      <c r="C49" s="289">
        <f t="shared" si="8"/>
        <v>10</v>
      </c>
      <c r="D49" s="438"/>
      <c r="E49" s="438"/>
      <c r="F49" s="263"/>
      <c r="G49" s="226" t="s">
        <v>201</v>
      </c>
      <c r="H49" s="226" t="s">
        <v>201</v>
      </c>
      <c r="I49" s="291">
        <v>0.2</v>
      </c>
      <c r="J49" s="291">
        <v>0.27</v>
      </c>
      <c r="K49" s="292" t="str">
        <f t="shared" si="9"/>
        <v/>
      </c>
      <c r="L49" s="240" t="str">
        <f t="shared" si="10"/>
        <v/>
      </c>
      <c r="M49" s="293"/>
      <c r="N49" s="242"/>
      <c r="O49" s="242"/>
      <c r="P49" s="243"/>
      <c r="Q49" s="244">
        <f t="shared" si="7"/>
        <v>0</v>
      </c>
      <c r="R49" s="242"/>
      <c r="S49" s="245"/>
      <c r="T49" s="245"/>
      <c r="U49" s="245"/>
      <c r="V49" s="246"/>
      <c r="W49" s="247"/>
      <c r="X49" s="247"/>
      <c r="Y49" s="247"/>
      <c r="Z49" s="247"/>
      <c r="AA49" s="247"/>
    </row>
    <row r="50" spans="2:27" x14ac:dyDescent="0.2">
      <c r="B50" s="219">
        <v>14</v>
      </c>
      <c r="C50" s="289">
        <f t="shared" si="8"/>
        <v>10</v>
      </c>
      <c r="D50" s="438" t="s">
        <v>478</v>
      </c>
      <c r="E50" s="438" t="s">
        <v>463</v>
      </c>
      <c r="F50" s="263" t="s">
        <v>196</v>
      </c>
      <c r="G50" s="226" t="s">
        <v>181</v>
      </c>
      <c r="H50" s="226"/>
      <c r="I50" s="291">
        <v>1</v>
      </c>
      <c r="J50" s="291">
        <v>0.91</v>
      </c>
      <c r="K50" s="292">
        <f t="shared" si="9"/>
        <v>0.91</v>
      </c>
      <c r="L50" s="240">
        <f t="shared" si="10"/>
        <v>510251.06000000006</v>
      </c>
      <c r="M50" s="293">
        <v>219749.35</v>
      </c>
      <c r="N50" s="242"/>
      <c r="O50" s="242"/>
      <c r="P50" s="243">
        <v>739.06</v>
      </c>
      <c r="Q50" s="244">
        <f t="shared" si="7"/>
        <v>289762.65000000002</v>
      </c>
      <c r="R50" s="242"/>
      <c r="S50" s="245"/>
      <c r="T50" s="245"/>
      <c r="U50" s="245">
        <v>289762.65000000002</v>
      </c>
      <c r="V50" s="246"/>
      <c r="W50" s="247"/>
      <c r="X50" s="247"/>
      <c r="Y50" s="247"/>
      <c r="Z50" s="247"/>
      <c r="AA50" s="247"/>
    </row>
    <row r="51" spans="2:27" x14ac:dyDescent="0.2">
      <c r="B51" s="219">
        <v>15</v>
      </c>
      <c r="C51" s="289">
        <f t="shared" si="8"/>
        <v>10</v>
      </c>
      <c r="D51" s="438" t="s">
        <v>479</v>
      </c>
      <c r="E51" s="438" t="s">
        <v>464</v>
      </c>
      <c r="F51" s="263" t="s">
        <v>196</v>
      </c>
      <c r="G51" s="226" t="s">
        <v>181</v>
      </c>
      <c r="H51" s="226"/>
      <c r="I51" s="291">
        <v>1</v>
      </c>
      <c r="J51" s="291">
        <v>1</v>
      </c>
      <c r="K51" s="292">
        <f t="shared" si="9"/>
        <v>1</v>
      </c>
      <c r="L51" s="240">
        <f t="shared" si="10"/>
        <v>1934746.0100000002</v>
      </c>
      <c r="M51" s="293">
        <v>1165720.56</v>
      </c>
      <c r="N51" s="242"/>
      <c r="O51" s="242"/>
      <c r="P51" s="243">
        <v>93076.86</v>
      </c>
      <c r="Q51" s="244">
        <f t="shared" si="7"/>
        <v>675948.59</v>
      </c>
      <c r="R51" s="242"/>
      <c r="S51" s="245"/>
      <c r="T51" s="245"/>
      <c r="U51" s="245">
        <v>675948.59</v>
      </c>
      <c r="V51" s="246"/>
      <c r="W51" s="247"/>
      <c r="X51" s="247"/>
      <c r="Y51" s="247"/>
      <c r="Z51" s="247"/>
      <c r="AA51" s="247"/>
    </row>
    <row r="52" spans="2:27" x14ac:dyDescent="0.2">
      <c r="B52" s="219">
        <v>16</v>
      </c>
      <c r="C52" s="289">
        <f t="shared" si="8"/>
        <v>10</v>
      </c>
      <c r="D52" s="438" t="s">
        <v>473</v>
      </c>
      <c r="E52" s="438" t="s">
        <v>465</v>
      </c>
      <c r="F52" s="263" t="s">
        <v>196</v>
      </c>
      <c r="G52" s="226" t="s">
        <v>198</v>
      </c>
      <c r="H52" s="226"/>
      <c r="I52" s="291">
        <v>1</v>
      </c>
      <c r="J52" s="291">
        <v>1</v>
      </c>
      <c r="K52" s="292">
        <f t="shared" si="9"/>
        <v>1</v>
      </c>
      <c r="L52" s="240">
        <f t="shared" si="10"/>
        <v>248196.59</v>
      </c>
      <c r="M52" s="293"/>
      <c r="N52" s="242"/>
      <c r="O52" s="242"/>
      <c r="P52" s="243"/>
      <c r="Q52" s="244">
        <f t="shared" si="7"/>
        <v>248196.59</v>
      </c>
      <c r="R52" s="242"/>
      <c r="S52" s="245"/>
      <c r="T52" s="245"/>
      <c r="U52" s="245">
        <v>248196.59</v>
      </c>
      <c r="V52" s="246"/>
      <c r="W52" s="247"/>
      <c r="X52" s="247"/>
      <c r="Y52" s="247"/>
      <c r="Z52" s="247"/>
      <c r="AA52" s="247"/>
    </row>
    <row r="53" spans="2:27" x14ac:dyDescent="0.2">
      <c r="B53" s="219">
        <v>17</v>
      </c>
      <c r="C53" s="289">
        <f t="shared" si="8"/>
        <v>10</v>
      </c>
      <c r="D53" s="438" t="s">
        <v>468</v>
      </c>
      <c r="E53" s="438" t="s">
        <v>466</v>
      </c>
      <c r="F53" s="263" t="s">
        <v>196</v>
      </c>
      <c r="G53" s="226" t="s">
        <v>180</v>
      </c>
      <c r="H53" s="226"/>
      <c r="I53" s="291">
        <v>1</v>
      </c>
      <c r="J53" s="291">
        <v>0.1</v>
      </c>
      <c r="K53" s="292">
        <f t="shared" si="9"/>
        <v>0.1</v>
      </c>
      <c r="L53" s="240">
        <f t="shared" si="10"/>
        <v>219971.02</v>
      </c>
      <c r="M53" s="293"/>
      <c r="N53" s="242"/>
      <c r="O53" s="242"/>
      <c r="P53" s="243"/>
      <c r="Q53" s="244">
        <f t="shared" si="7"/>
        <v>219971.02</v>
      </c>
      <c r="R53" s="242"/>
      <c r="S53" s="245"/>
      <c r="T53" s="245"/>
      <c r="U53" s="245">
        <v>219971.02</v>
      </c>
      <c r="V53" s="246"/>
      <c r="W53" s="247"/>
      <c r="X53" s="247"/>
      <c r="Y53" s="247"/>
      <c r="Z53" s="247"/>
      <c r="AA53" s="247"/>
    </row>
    <row r="54" spans="2:27" x14ac:dyDescent="0.2">
      <c r="B54" s="219">
        <v>18</v>
      </c>
      <c r="C54" s="289">
        <f t="shared" si="8"/>
        <v>10</v>
      </c>
      <c r="D54" s="438" t="s">
        <v>476</v>
      </c>
      <c r="E54" s="226"/>
      <c r="F54" s="263" t="s">
        <v>196</v>
      </c>
      <c r="G54" s="226" t="s">
        <v>180</v>
      </c>
      <c r="H54" s="226"/>
      <c r="I54" s="291">
        <v>1</v>
      </c>
      <c r="J54" s="291">
        <v>0.5</v>
      </c>
      <c r="K54" s="292">
        <f t="shared" si="9"/>
        <v>0.5</v>
      </c>
      <c r="L54" s="240">
        <f t="shared" si="10"/>
        <v>1130202.26</v>
      </c>
      <c r="M54" s="293">
        <v>38077.86</v>
      </c>
      <c r="N54" s="242"/>
      <c r="O54" s="242"/>
      <c r="P54" s="243">
        <v>34299.620000000003</v>
      </c>
      <c r="Q54" s="244">
        <f t="shared" si="7"/>
        <v>1057824.78</v>
      </c>
      <c r="R54" s="242"/>
      <c r="S54" s="245"/>
      <c r="T54" s="245"/>
      <c r="U54" s="245">
        <v>1057824.78</v>
      </c>
      <c r="V54" s="246"/>
      <c r="W54" s="247"/>
      <c r="X54" s="247"/>
      <c r="Y54" s="247"/>
      <c r="Z54" s="247"/>
      <c r="AA54" s="247"/>
    </row>
    <row r="55" spans="2:27" x14ac:dyDescent="0.2">
      <c r="B55" s="219">
        <v>19</v>
      </c>
      <c r="C55" s="289" t="str">
        <f t="shared" si="4"/>
        <v/>
      </c>
      <c r="D55" s="290"/>
      <c r="E55" s="226"/>
      <c r="F55" s="263"/>
      <c r="G55" s="226"/>
      <c r="H55" s="226"/>
      <c r="I55" s="291"/>
      <c r="J55" s="291"/>
      <c r="K55" s="292" t="str">
        <f t="shared" si="5"/>
        <v/>
      </c>
      <c r="L55" s="240" t="str">
        <f t="shared" si="6"/>
        <v/>
      </c>
      <c r="M55" s="293"/>
      <c r="N55" s="242"/>
      <c r="O55" s="242"/>
      <c r="P55" s="243"/>
      <c r="Q55" s="244">
        <f t="shared" si="7"/>
        <v>0</v>
      </c>
      <c r="R55" s="242"/>
      <c r="S55" s="245"/>
      <c r="T55" s="245"/>
      <c r="U55" s="245"/>
      <c r="V55" s="246"/>
      <c r="W55" s="247"/>
      <c r="X55" s="247"/>
      <c r="Y55" s="247"/>
      <c r="Z55" s="247"/>
      <c r="AA55" s="247"/>
    </row>
    <row r="56" spans="2:27" x14ac:dyDescent="0.2">
      <c r="B56" s="219">
        <v>20</v>
      </c>
      <c r="C56" s="289" t="str">
        <f t="shared" si="4"/>
        <v/>
      </c>
      <c r="D56" s="290"/>
      <c r="E56" s="226"/>
      <c r="F56" s="263"/>
      <c r="G56" s="226"/>
      <c r="H56" s="226"/>
      <c r="I56" s="291"/>
      <c r="J56" s="291"/>
      <c r="K56" s="292" t="str">
        <f t="shared" si="5"/>
        <v/>
      </c>
      <c r="L56" s="240" t="str">
        <f t="shared" si="6"/>
        <v/>
      </c>
      <c r="M56" s="293"/>
      <c r="N56" s="242"/>
      <c r="O56" s="242"/>
      <c r="P56" s="243"/>
      <c r="Q56" s="244">
        <f t="shared" si="7"/>
        <v>0</v>
      </c>
      <c r="R56" s="242"/>
      <c r="S56" s="245"/>
      <c r="T56" s="245"/>
      <c r="U56" s="245"/>
      <c r="V56" s="246"/>
      <c r="W56" s="247"/>
      <c r="X56" s="247"/>
      <c r="Y56" s="247"/>
      <c r="Z56" s="247"/>
      <c r="AA56" s="247"/>
    </row>
    <row r="57" spans="2:27" x14ac:dyDescent="0.2">
      <c r="B57" s="219">
        <v>21</v>
      </c>
      <c r="C57" s="289" t="str">
        <f t="shared" si="4"/>
        <v/>
      </c>
      <c r="D57" s="290"/>
      <c r="E57" s="226"/>
      <c r="F57" s="263"/>
      <c r="G57" s="226"/>
      <c r="H57" s="226"/>
      <c r="I57" s="291"/>
      <c r="J57" s="291"/>
      <c r="K57" s="292" t="str">
        <f t="shared" si="5"/>
        <v/>
      </c>
      <c r="L57" s="240" t="str">
        <f t="shared" si="6"/>
        <v/>
      </c>
      <c r="M57" s="293"/>
      <c r="N57" s="242"/>
      <c r="O57" s="242"/>
      <c r="P57" s="243"/>
      <c r="Q57" s="244">
        <f t="shared" si="7"/>
        <v>0</v>
      </c>
      <c r="R57" s="242"/>
      <c r="S57" s="245"/>
      <c r="T57" s="245"/>
      <c r="U57" s="245"/>
      <c r="V57" s="246"/>
      <c r="W57" s="247"/>
      <c r="X57" s="247"/>
      <c r="Y57" s="247"/>
      <c r="Z57" s="247"/>
      <c r="AA57" s="247"/>
    </row>
    <row r="58" spans="2:27" x14ac:dyDescent="0.2">
      <c r="B58" s="219">
        <v>22</v>
      </c>
      <c r="C58" s="289" t="str">
        <f t="shared" si="4"/>
        <v/>
      </c>
      <c r="D58" s="290"/>
      <c r="E58" s="226"/>
      <c r="F58" s="263"/>
      <c r="G58" s="226"/>
      <c r="H58" s="226"/>
      <c r="I58" s="291"/>
      <c r="J58" s="291"/>
      <c r="K58" s="292" t="str">
        <f t="shared" si="5"/>
        <v/>
      </c>
      <c r="L58" s="240" t="str">
        <f t="shared" si="6"/>
        <v/>
      </c>
      <c r="M58" s="293"/>
      <c r="N58" s="242"/>
      <c r="O58" s="242"/>
      <c r="P58" s="243"/>
      <c r="Q58" s="244">
        <f t="shared" si="7"/>
        <v>0</v>
      </c>
      <c r="R58" s="242"/>
      <c r="S58" s="245"/>
      <c r="T58" s="245"/>
      <c r="U58" s="245"/>
      <c r="V58" s="246"/>
      <c r="W58" s="247"/>
      <c r="X58" s="247"/>
      <c r="Y58" s="247"/>
      <c r="Z58" s="247"/>
      <c r="AA58" s="247"/>
    </row>
    <row r="59" spans="2:27" x14ac:dyDescent="0.2">
      <c r="B59" s="219">
        <v>23</v>
      </c>
      <c r="C59" s="289" t="str">
        <f t="shared" si="4"/>
        <v/>
      </c>
      <c r="D59" s="290"/>
      <c r="E59" s="226"/>
      <c r="F59" s="263"/>
      <c r="G59" s="226"/>
      <c r="H59" s="226"/>
      <c r="I59" s="291"/>
      <c r="J59" s="291"/>
      <c r="K59" s="292" t="str">
        <f t="shared" si="5"/>
        <v/>
      </c>
      <c r="L59" s="240" t="str">
        <f t="shared" si="6"/>
        <v/>
      </c>
      <c r="M59" s="293"/>
      <c r="N59" s="242"/>
      <c r="O59" s="242"/>
      <c r="P59" s="243"/>
      <c r="Q59" s="244">
        <f t="shared" si="7"/>
        <v>0</v>
      </c>
      <c r="R59" s="242"/>
      <c r="S59" s="245"/>
      <c r="T59" s="245"/>
      <c r="U59" s="245"/>
      <c r="V59" s="246"/>
      <c r="W59" s="247"/>
      <c r="X59" s="247"/>
      <c r="Y59" s="247"/>
      <c r="Z59" s="247"/>
      <c r="AA59" s="247"/>
    </row>
    <row r="60" spans="2:27" x14ac:dyDescent="0.2">
      <c r="B60" s="219">
        <v>24</v>
      </c>
      <c r="C60" s="289" t="str">
        <f t="shared" si="4"/>
        <v/>
      </c>
      <c r="D60" s="290"/>
      <c r="E60" s="226"/>
      <c r="F60" s="263"/>
      <c r="G60" s="226"/>
      <c r="H60" s="226"/>
      <c r="I60" s="291"/>
      <c r="J60" s="291"/>
      <c r="K60" s="292" t="str">
        <f t="shared" si="5"/>
        <v/>
      </c>
      <c r="L60" s="240" t="str">
        <f t="shared" si="6"/>
        <v/>
      </c>
      <c r="M60" s="293"/>
      <c r="N60" s="242"/>
      <c r="O60" s="242"/>
      <c r="P60" s="243"/>
      <c r="Q60" s="244">
        <f t="shared" si="7"/>
        <v>0</v>
      </c>
      <c r="R60" s="242"/>
      <c r="S60" s="245"/>
      <c r="T60" s="245"/>
      <c r="U60" s="245"/>
      <c r="V60" s="246"/>
      <c r="W60" s="247"/>
      <c r="X60" s="247"/>
      <c r="Y60" s="247"/>
      <c r="Z60" s="247"/>
      <c r="AA60" s="247"/>
    </row>
    <row r="61" spans="2:27" x14ac:dyDescent="0.2">
      <c r="B61" s="219">
        <v>25</v>
      </c>
      <c r="C61" s="289" t="str">
        <f t="shared" si="4"/>
        <v/>
      </c>
      <c r="D61" s="290"/>
      <c r="E61" s="226"/>
      <c r="F61" s="263"/>
      <c r="G61" s="226"/>
      <c r="H61" s="226"/>
      <c r="I61" s="291"/>
      <c r="J61" s="291"/>
      <c r="K61" s="292" t="str">
        <f t="shared" si="5"/>
        <v/>
      </c>
      <c r="L61" s="240" t="str">
        <f t="shared" si="6"/>
        <v/>
      </c>
      <c r="M61" s="293"/>
      <c r="N61" s="242"/>
      <c r="O61" s="242"/>
      <c r="P61" s="243"/>
      <c r="Q61" s="244">
        <f t="shared" si="7"/>
        <v>0</v>
      </c>
      <c r="R61" s="242"/>
      <c r="S61" s="245"/>
      <c r="T61" s="245"/>
      <c r="U61" s="245"/>
      <c r="V61" s="246"/>
      <c r="W61" s="247"/>
      <c r="X61" s="247"/>
      <c r="Y61" s="247"/>
      <c r="Z61" s="247"/>
      <c r="AA61" s="247"/>
    </row>
    <row r="62" spans="2:27" x14ac:dyDescent="0.2">
      <c r="B62" s="219">
        <v>26</v>
      </c>
      <c r="C62" s="289" t="str">
        <f t="shared" si="4"/>
        <v/>
      </c>
      <c r="D62" s="290"/>
      <c r="E62" s="226"/>
      <c r="F62" s="263"/>
      <c r="G62" s="226"/>
      <c r="H62" s="226"/>
      <c r="I62" s="291"/>
      <c r="J62" s="291"/>
      <c r="K62" s="292" t="str">
        <f t="shared" si="5"/>
        <v/>
      </c>
      <c r="L62" s="240" t="str">
        <f t="shared" si="6"/>
        <v/>
      </c>
      <c r="M62" s="293"/>
      <c r="N62" s="242"/>
      <c r="O62" s="242"/>
      <c r="P62" s="243"/>
      <c r="Q62" s="244">
        <f t="shared" si="7"/>
        <v>0</v>
      </c>
      <c r="R62" s="242"/>
      <c r="S62" s="245"/>
      <c r="T62" s="245"/>
      <c r="U62" s="245"/>
      <c r="V62" s="246"/>
      <c r="W62" s="247"/>
      <c r="X62" s="247"/>
      <c r="Y62" s="247"/>
      <c r="Z62" s="247"/>
      <c r="AA62" s="247"/>
    </row>
    <row r="63" spans="2:27" x14ac:dyDescent="0.2">
      <c r="B63" s="219">
        <v>27</v>
      </c>
      <c r="C63" s="289" t="str">
        <f t="shared" si="4"/>
        <v/>
      </c>
      <c r="D63" s="290"/>
      <c r="E63" s="226"/>
      <c r="F63" s="263"/>
      <c r="G63" s="226"/>
      <c r="H63" s="226"/>
      <c r="I63" s="291"/>
      <c r="J63" s="291"/>
      <c r="K63" s="292" t="str">
        <f t="shared" si="5"/>
        <v/>
      </c>
      <c r="L63" s="240" t="str">
        <f t="shared" si="6"/>
        <v/>
      </c>
      <c r="M63" s="293"/>
      <c r="N63" s="242"/>
      <c r="O63" s="242"/>
      <c r="P63" s="243"/>
      <c r="Q63" s="244">
        <f t="shared" si="7"/>
        <v>0</v>
      </c>
      <c r="R63" s="242"/>
      <c r="S63" s="245"/>
      <c r="T63" s="245"/>
      <c r="U63" s="245"/>
      <c r="V63" s="246"/>
      <c r="W63" s="247"/>
      <c r="X63" s="247"/>
      <c r="Y63" s="247"/>
      <c r="Z63" s="247"/>
      <c r="AA63" s="247"/>
    </row>
    <row r="64" spans="2:27" x14ac:dyDescent="0.2">
      <c r="B64" s="219">
        <v>28</v>
      </c>
      <c r="C64" s="289" t="str">
        <f t="shared" si="4"/>
        <v/>
      </c>
      <c r="D64" s="290"/>
      <c r="E64" s="226"/>
      <c r="F64" s="263"/>
      <c r="G64" s="226"/>
      <c r="H64" s="226"/>
      <c r="I64" s="291"/>
      <c r="J64" s="291"/>
      <c r="K64" s="292" t="str">
        <f t="shared" si="5"/>
        <v/>
      </c>
      <c r="L64" s="240" t="str">
        <f t="shared" si="6"/>
        <v/>
      </c>
      <c r="M64" s="293"/>
      <c r="N64" s="242"/>
      <c r="O64" s="242"/>
      <c r="P64" s="243"/>
      <c r="Q64" s="244">
        <f t="shared" si="7"/>
        <v>0</v>
      </c>
      <c r="R64" s="242"/>
      <c r="S64" s="245"/>
      <c r="T64" s="245"/>
      <c r="U64" s="245"/>
      <c r="V64" s="246"/>
      <c r="W64" s="247"/>
      <c r="X64" s="247"/>
      <c r="Y64" s="247"/>
      <c r="Z64" s="247"/>
      <c r="AA64" s="247"/>
    </row>
    <row r="65" spans="2:27" x14ac:dyDescent="0.2">
      <c r="B65" s="219">
        <v>29</v>
      </c>
      <c r="C65" s="289" t="str">
        <f t="shared" si="4"/>
        <v/>
      </c>
      <c r="D65" s="290"/>
      <c r="E65" s="226"/>
      <c r="F65" s="263"/>
      <c r="G65" s="226"/>
      <c r="H65" s="226"/>
      <c r="I65" s="291"/>
      <c r="J65" s="291"/>
      <c r="K65" s="292" t="str">
        <f t="shared" si="5"/>
        <v/>
      </c>
      <c r="L65" s="240" t="str">
        <f t="shared" si="6"/>
        <v/>
      </c>
      <c r="M65" s="293"/>
      <c r="N65" s="242"/>
      <c r="O65" s="242"/>
      <c r="P65" s="243"/>
      <c r="Q65" s="244">
        <f t="shared" si="7"/>
        <v>0</v>
      </c>
      <c r="R65" s="242"/>
      <c r="S65" s="245"/>
      <c r="T65" s="245"/>
      <c r="U65" s="245"/>
      <c r="V65" s="246"/>
      <c r="W65" s="247"/>
      <c r="X65" s="247"/>
      <c r="Y65" s="247"/>
      <c r="Z65" s="247"/>
      <c r="AA65" s="247"/>
    </row>
    <row r="66" spans="2:27" x14ac:dyDescent="0.2">
      <c r="B66" s="219">
        <v>30</v>
      </c>
      <c r="C66" s="289" t="str">
        <f t="shared" si="4"/>
        <v/>
      </c>
      <c r="D66" s="290"/>
      <c r="E66" s="226"/>
      <c r="F66" s="263"/>
      <c r="G66" s="226"/>
      <c r="H66" s="226"/>
      <c r="I66" s="291"/>
      <c r="J66" s="291"/>
      <c r="K66" s="292" t="str">
        <f t="shared" si="5"/>
        <v/>
      </c>
      <c r="L66" s="240" t="str">
        <f t="shared" si="6"/>
        <v/>
      </c>
      <c r="M66" s="293"/>
      <c r="N66" s="242"/>
      <c r="O66" s="242"/>
      <c r="P66" s="243"/>
      <c r="Q66" s="244">
        <f t="shared" si="7"/>
        <v>0</v>
      </c>
      <c r="R66" s="242"/>
      <c r="S66" s="245"/>
      <c r="T66" s="245"/>
      <c r="U66" s="245"/>
      <c r="V66" s="246"/>
      <c r="W66" s="247"/>
      <c r="X66" s="247"/>
      <c r="Y66" s="247"/>
      <c r="Z66" s="247"/>
      <c r="AA66" s="247"/>
    </row>
    <row r="67" spans="2:27" hidden="1" x14ac:dyDescent="0.2">
      <c r="B67" s="294"/>
      <c r="C67" s="227"/>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A10" zoomScale="70" zoomScaleNormal="70" zoomScaleSheetLayoutView="40" workbookViewId="0">
      <pane xSplit="6" ySplit="4" topLeftCell="I14" activePane="bottomRight" state="frozen"/>
      <selection activeCell="A10" sqref="A10"/>
      <selection pane="topRight" activeCell="G10" sqref="G10"/>
      <selection pane="bottomLeft" activeCell="A14" sqref="A14"/>
      <selection pane="bottomRight" activeCell="L30" sqref="L30"/>
    </sheetView>
  </sheetViews>
  <sheetFormatPr defaultColWidth="0" defaultRowHeight="15" zeroHeight="1" x14ac:dyDescent="0.2"/>
  <cols>
    <col min="1" max="1" width="2.7109375" style="227" customWidth="1"/>
    <col min="2" max="2" width="6.7109375" style="229" customWidth="1"/>
    <col min="3" max="3" width="8.85546875" style="229" customWidth="1"/>
    <col min="4" max="4" width="26.42578125" style="229" customWidth="1"/>
    <col min="5" max="8" width="17.7109375" style="229" customWidth="1"/>
    <col min="9" max="9" width="24.85546875" style="229" customWidth="1"/>
    <col min="10" max="10" width="24.42578125" style="229" bestFit="1" customWidth="1"/>
    <col min="11" max="11" width="17.7109375" style="229" customWidth="1"/>
    <col min="12" max="25" width="15.42578125" style="229" customWidth="1"/>
    <col min="26" max="26" width="17.7109375" style="229" customWidth="1"/>
    <col min="27" max="27" width="17.7109375" style="229" hidden="1" customWidth="1"/>
    <col min="28" max="16384" width="9.140625" style="227" hidden="1"/>
  </cols>
  <sheetData>
    <row r="1" spans="2:27" x14ac:dyDescent="0.2">
      <c r="B1" s="458" t="s">
        <v>332</v>
      </c>
      <c r="C1" s="458"/>
      <c r="D1" s="458"/>
    </row>
    <row r="2" spans="2:27" x14ac:dyDescent="0.2">
      <c r="B2" s="209"/>
      <c r="C2" s="209"/>
      <c r="D2" s="209"/>
    </row>
    <row r="3" spans="2:27" ht="18" x14ac:dyDescent="0.25">
      <c r="B3" s="401" t="s">
        <v>21</v>
      </c>
      <c r="C3" s="58"/>
      <c r="D3" s="58"/>
      <c r="E3" s="58"/>
      <c r="F3" s="58"/>
      <c r="G3" s="58"/>
      <c r="H3" s="58"/>
      <c r="I3" s="58"/>
      <c r="J3" s="58"/>
      <c r="K3" s="59"/>
      <c r="L3" s="58"/>
      <c r="M3" s="58"/>
      <c r="N3" s="58"/>
      <c r="O3" s="58"/>
      <c r="P3" s="58"/>
      <c r="Q3" s="58"/>
      <c r="R3" s="58"/>
      <c r="S3" s="58"/>
      <c r="T3" s="58"/>
      <c r="U3" s="58"/>
      <c r="V3" s="58"/>
      <c r="W3" s="58"/>
      <c r="X3" s="58"/>
      <c r="Y3" s="58"/>
      <c r="Z3" s="58"/>
      <c r="AA3" s="227"/>
    </row>
    <row r="4" spans="2:27" ht="18" x14ac:dyDescent="0.2">
      <c r="B4" s="402" t="s">
        <v>0</v>
      </c>
      <c r="C4" s="60"/>
      <c r="D4" s="60"/>
      <c r="E4" s="60"/>
      <c r="F4" s="60"/>
      <c r="G4" s="60"/>
      <c r="H4" s="60"/>
      <c r="I4" s="60"/>
      <c r="J4" s="60"/>
      <c r="K4" s="61"/>
      <c r="L4" s="60"/>
      <c r="M4" s="60"/>
      <c r="N4" s="60"/>
      <c r="O4" s="60"/>
      <c r="P4" s="60"/>
      <c r="Q4" s="60"/>
      <c r="R4" s="60"/>
      <c r="S4" s="60"/>
      <c r="T4" s="60"/>
      <c r="U4" s="60"/>
      <c r="V4" s="60"/>
      <c r="W4" s="60"/>
      <c r="X4" s="60"/>
      <c r="Y4" s="60"/>
      <c r="Z4" s="60"/>
      <c r="AA4" s="227"/>
    </row>
    <row r="5" spans="2:27" ht="18" x14ac:dyDescent="0.25">
      <c r="B5" s="401" t="s">
        <v>373</v>
      </c>
      <c r="C5" s="58"/>
      <c r="D5" s="58"/>
      <c r="E5" s="58"/>
      <c r="F5" s="58"/>
      <c r="G5" s="58"/>
      <c r="H5" s="58"/>
      <c r="I5" s="58"/>
      <c r="J5" s="58"/>
      <c r="K5" s="59"/>
      <c r="L5" s="58"/>
      <c r="M5" s="58"/>
      <c r="N5" s="58"/>
      <c r="O5" s="58"/>
      <c r="P5" s="58"/>
      <c r="Q5" s="58"/>
      <c r="R5" s="58"/>
      <c r="S5" s="58"/>
      <c r="T5" s="58"/>
      <c r="U5" s="58"/>
      <c r="V5" s="58"/>
      <c r="W5" s="58"/>
      <c r="X5" s="58"/>
      <c r="Y5" s="58"/>
      <c r="Z5" s="58"/>
      <c r="AA5" s="227"/>
    </row>
    <row r="6" spans="2:27" ht="15.75" x14ac:dyDescent="0.25">
      <c r="C6" s="59"/>
      <c r="D6" s="59"/>
      <c r="E6" s="59"/>
      <c r="F6" s="59"/>
      <c r="G6" s="59"/>
      <c r="H6" s="59"/>
      <c r="I6" s="59"/>
      <c r="J6" s="59"/>
      <c r="K6" s="59"/>
      <c r="L6" s="59"/>
      <c r="M6" s="58"/>
      <c r="N6" s="58"/>
      <c r="O6" s="58"/>
      <c r="P6" s="58"/>
      <c r="Q6" s="58"/>
      <c r="R6" s="58"/>
      <c r="S6" s="58"/>
      <c r="T6" s="58"/>
      <c r="U6" s="58"/>
      <c r="V6" s="58"/>
      <c r="W6" s="58"/>
      <c r="X6" s="58"/>
      <c r="Y6" s="58"/>
      <c r="Z6" s="58"/>
      <c r="AA6" s="58"/>
    </row>
    <row r="7" spans="2:27" ht="15.75" x14ac:dyDescent="0.25">
      <c r="B7" s="449" t="s">
        <v>2</v>
      </c>
      <c r="C7" s="449"/>
      <c r="D7" s="55" t="str">
        <f>IF(ISBLANK('1. Information'!D6),"",'1. Information'!D6)</f>
        <v>Fresno</v>
      </c>
      <c r="F7" s="205" t="s">
        <v>3</v>
      </c>
      <c r="G7" s="228">
        <f>IF(ISBLANK('1. Information'!D5),"",'1. Information'!D5)</f>
        <v>43223</v>
      </c>
      <c r="H7" s="230"/>
      <c r="I7" s="230"/>
      <c r="J7" s="59"/>
      <c r="K7" s="59"/>
      <c r="L7" s="59"/>
      <c r="M7" s="59"/>
      <c r="N7" s="59"/>
      <c r="O7" s="59"/>
      <c r="P7" s="59"/>
      <c r="Q7" s="59"/>
      <c r="R7" s="59"/>
      <c r="S7" s="59"/>
      <c r="T7" s="59"/>
      <c r="U7" s="59"/>
      <c r="V7" s="59"/>
      <c r="W7" s="59"/>
      <c r="X7" s="59"/>
      <c r="Y7" s="59"/>
      <c r="Z7" s="59"/>
      <c r="AA7" s="59"/>
    </row>
    <row r="8" spans="2:27" ht="15.75" x14ac:dyDescent="0.25">
      <c r="B8" s="15"/>
      <c r="C8" s="15"/>
      <c r="D8" s="15"/>
      <c r="F8" s="15"/>
      <c r="G8" s="230"/>
      <c r="H8" s="230"/>
      <c r="I8" s="230"/>
      <c r="J8" s="59"/>
      <c r="K8" s="59"/>
      <c r="L8" s="59"/>
      <c r="M8" s="59"/>
      <c r="N8" s="59"/>
      <c r="O8" s="59"/>
      <c r="P8" s="59"/>
      <c r="Q8" s="59"/>
      <c r="R8" s="59"/>
      <c r="S8" s="59"/>
      <c r="T8" s="59"/>
      <c r="U8" s="59"/>
      <c r="V8" s="59"/>
      <c r="W8" s="59"/>
      <c r="X8" s="59"/>
      <c r="Y8" s="59"/>
      <c r="Z8" s="59"/>
      <c r="AA8" s="59"/>
    </row>
    <row r="9" spans="2:27" ht="18.75" thickBot="1" x14ac:dyDescent="0.3">
      <c r="B9" s="403" t="s">
        <v>385</v>
      </c>
      <c r="C9" s="106"/>
      <c r="D9" s="106"/>
      <c r="E9" s="233"/>
      <c r="F9" s="231"/>
      <c r="G9" s="231"/>
      <c r="H9" s="232"/>
      <c r="I9" s="232"/>
      <c r="J9" s="107"/>
      <c r="K9" s="107"/>
      <c r="L9" s="107"/>
      <c r="M9" s="107"/>
      <c r="N9" s="107"/>
      <c r="O9" s="107"/>
      <c r="P9" s="107"/>
      <c r="Q9" s="107"/>
      <c r="R9" s="107"/>
      <c r="S9" s="107"/>
      <c r="T9" s="107"/>
      <c r="U9" s="107"/>
      <c r="V9" s="59"/>
      <c r="W9" s="59"/>
      <c r="X9" s="59"/>
      <c r="Y9" s="59"/>
      <c r="Z9" s="59"/>
      <c r="AA9" s="59"/>
    </row>
    <row r="10" spans="2:27" ht="16.5" thickTop="1" x14ac:dyDescent="0.25">
      <c r="B10" s="62"/>
      <c r="C10" s="15"/>
      <c r="D10" s="15"/>
      <c r="F10" s="227"/>
      <c r="G10" s="227"/>
      <c r="H10" s="230"/>
      <c r="I10" s="230"/>
      <c r="J10" s="59"/>
      <c r="K10" s="59"/>
      <c r="L10" s="59"/>
      <c r="M10" s="59"/>
      <c r="N10" s="59"/>
      <c r="O10" s="59"/>
      <c r="P10" s="59"/>
      <c r="Q10" s="59"/>
      <c r="R10" s="59"/>
      <c r="S10" s="59"/>
      <c r="T10" s="59"/>
      <c r="U10" s="59"/>
      <c r="V10" s="59"/>
      <c r="W10" s="59"/>
      <c r="X10" s="59"/>
      <c r="Y10" s="59"/>
      <c r="Z10" s="59"/>
      <c r="AA10" s="59"/>
    </row>
    <row r="11" spans="2:27" ht="15.75" x14ac:dyDescent="0.25">
      <c r="B11" s="15"/>
      <c r="C11" s="15"/>
      <c r="D11" s="15"/>
      <c r="F11" s="125" t="s">
        <v>59</v>
      </c>
      <c r="G11" s="295" t="s">
        <v>61</v>
      </c>
      <c r="H11" s="235" t="s">
        <v>65</v>
      </c>
      <c r="I11" s="235" t="s">
        <v>350</v>
      </c>
      <c r="J11" s="129" t="s">
        <v>351</v>
      </c>
      <c r="K11" s="112" t="s">
        <v>352</v>
      </c>
      <c r="L11" s="74" t="s">
        <v>361</v>
      </c>
      <c r="M11" s="74" t="s">
        <v>353</v>
      </c>
      <c r="N11" s="74" t="s">
        <v>354</v>
      </c>
      <c r="O11" s="74" t="s">
        <v>355</v>
      </c>
      <c r="P11" s="74" t="s">
        <v>356</v>
      </c>
      <c r="Q11" s="74" t="s">
        <v>357</v>
      </c>
      <c r="R11" s="74" t="s">
        <v>358</v>
      </c>
      <c r="S11" s="74" t="s">
        <v>359</v>
      </c>
      <c r="T11" s="74" t="s">
        <v>360</v>
      </c>
      <c r="U11" s="74" t="s">
        <v>362</v>
      </c>
      <c r="V11" s="59"/>
      <c r="W11" s="59"/>
      <c r="X11" s="59"/>
      <c r="Y11" s="59"/>
      <c r="Z11" s="59"/>
      <c r="AA11" s="59"/>
    </row>
    <row r="12" spans="2:27" ht="15.75" x14ac:dyDescent="0.25">
      <c r="B12" s="227"/>
      <c r="C12" s="7"/>
      <c r="D12" s="63"/>
      <c r="E12" s="63"/>
      <c r="F12" s="126"/>
      <c r="G12" s="483" t="s">
        <v>62</v>
      </c>
      <c r="H12" s="483"/>
      <c r="I12" s="483"/>
      <c r="J12" s="484"/>
      <c r="K12" s="491" t="s">
        <v>219</v>
      </c>
      <c r="L12" s="491"/>
      <c r="M12" s="491"/>
      <c r="N12" s="491"/>
      <c r="O12" s="491"/>
      <c r="P12" s="491"/>
      <c r="Q12" s="491"/>
      <c r="R12" s="491"/>
      <c r="S12" s="491"/>
      <c r="T12" s="491"/>
      <c r="U12" s="492"/>
      <c r="V12" s="64"/>
      <c r="W12" s="59"/>
      <c r="X12" s="59"/>
      <c r="Y12" s="59"/>
      <c r="Z12" s="59"/>
      <c r="AA12" s="59"/>
    </row>
    <row r="13" spans="2:27" ht="65.25" customHeight="1" x14ac:dyDescent="0.25">
      <c r="B13" s="227"/>
      <c r="C13" s="496"/>
      <c r="D13" s="496"/>
      <c r="E13" s="496"/>
      <c r="F13" s="127" t="s">
        <v>279</v>
      </c>
      <c r="G13" s="113" t="s">
        <v>7</v>
      </c>
      <c r="H13" s="76" t="s">
        <v>8</v>
      </c>
      <c r="I13" s="76" t="s">
        <v>63</v>
      </c>
      <c r="J13" s="119" t="s">
        <v>10</v>
      </c>
      <c r="K13" s="128" t="s">
        <v>336</v>
      </c>
      <c r="L13" s="76" t="s">
        <v>277</v>
      </c>
      <c r="M13" s="80" t="s">
        <v>24</v>
      </c>
      <c r="N13" s="80" t="s">
        <v>25</v>
      </c>
      <c r="O13" s="81" t="s">
        <v>26</v>
      </c>
      <c r="P13" s="81" t="s">
        <v>27</v>
      </c>
      <c r="Q13" s="81" t="s">
        <v>28</v>
      </c>
      <c r="R13" s="80" t="s">
        <v>29</v>
      </c>
      <c r="S13" s="80" t="s">
        <v>30</v>
      </c>
      <c r="T13" s="80" t="s">
        <v>31</v>
      </c>
      <c r="U13" s="80" t="s">
        <v>208</v>
      </c>
      <c r="V13" s="59"/>
      <c r="W13" s="59"/>
      <c r="X13" s="59"/>
      <c r="Y13" s="59"/>
      <c r="Z13" s="59"/>
      <c r="AA13" s="227"/>
    </row>
    <row r="14" spans="2:27" ht="15.75" x14ac:dyDescent="0.25">
      <c r="B14" s="219">
        <v>1</v>
      </c>
      <c r="C14" s="456" t="s">
        <v>214</v>
      </c>
      <c r="D14" s="456"/>
      <c r="E14" s="456"/>
      <c r="F14" s="123">
        <f>SUM(G14:J14,K14)</f>
        <v>0</v>
      </c>
      <c r="G14" s="114"/>
      <c r="H14" s="78"/>
      <c r="I14" s="78"/>
      <c r="J14" s="120"/>
      <c r="K14" s="79">
        <f t="shared" ref="K14:K19" si="0">SUM(L14,M14:U14)</f>
        <v>0</v>
      </c>
      <c r="L14" s="78"/>
      <c r="M14" s="78"/>
      <c r="N14" s="78"/>
      <c r="O14" s="78"/>
      <c r="P14" s="78"/>
      <c r="Q14" s="78"/>
      <c r="R14" s="78"/>
      <c r="S14" s="78"/>
      <c r="T14" s="78"/>
      <c r="U14" s="78"/>
      <c r="V14" s="59"/>
      <c r="W14" s="59"/>
      <c r="X14" s="59"/>
      <c r="Y14" s="59"/>
      <c r="Z14" s="59"/>
      <c r="AA14" s="227"/>
    </row>
    <row r="15" spans="2:27" ht="15.75" x14ac:dyDescent="0.25">
      <c r="B15" s="219">
        <v>2</v>
      </c>
      <c r="C15" s="456" t="s">
        <v>215</v>
      </c>
      <c r="D15" s="456"/>
      <c r="E15" s="456"/>
      <c r="F15" s="123">
        <f>SUM(G15:J15,K15)</f>
        <v>10407.52</v>
      </c>
      <c r="G15" s="114"/>
      <c r="H15" s="78"/>
      <c r="I15" s="78"/>
      <c r="J15" s="120"/>
      <c r="K15" s="79">
        <f t="shared" si="0"/>
        <v>10407.52</v>
      </c>
      <c r="L15" s="78">
        <v>10407.52</v>
      </c>
      <c r="M15" s="78"/>
      <c r="N15" s="78"/>
      <c r="O15" s="78"/>
      <c r="P15" s="78"/>
      <c r="Q15" s="78"/>
      <c r="R15" s="78"/>
      <c r="S15" s="78"/>
      <c r="T15" s="78"/>
      <c r="U15" s="78"/>
      <c r="V15" s="59"/>
      <c r="W15" s="59"/>
      <c r="X15" s="59"/>
      <c r="Y15" s="59"/>
      <c r="Z15" s="59"/>
      <c r="AA15" s="227"/>
    </row>
    <row r="16" spans="2:27" ht="15.75" x14ac:dyDescent="0.25">
      <c r="B16" s="219">
        <v>3</v>
      </c>
      <c r="C16" s="456" t="s">
        <v>216</v>
      </c>
      <c r="D16" s="456"/>
      <c r="E16" s="456"/>
      <c r="F16" s="123">
        <f>SUM(G16:J16,K16)</f>
        <v>0</v>
      </c>
      <c r="G16" s="115">
        <f>SUMIF($J$28:$J$87,"Project Administration",L$28:L$87)</f>
        <v>0</v>
      </c>
      <c r="H16" s="77">
        <f>SUMIF($J$28:$J$87,"Project Administration",M$28:M$87)</f>
        <v>0</v>
      </c>
      <c r="I16" s="77">
        <f>SUMIF($J$28:$J$87,"Project Administration",N$28:N$87)</f>
        <v>0</v>
      </c>
      <c r="J16" s="121">
        <f>SUMIF($J$28:$J$87,"Project Administration",O$28:O$87)</f>
        <v>0</v>
      </c>
      <c r="K16" s="116">
        <f t="shared" si="0"/>
        <v>0</v>
      </c>
      <c r="L16" s="77">
        <f t="shared" ref="L16:U16" si="1">SUMIF($J$28:$J$87,"Project Administration",Q$28:Q$87)</f>
        <v>0</v>
      </c>
      <c r="M16" s="77">
        <f t="shared" si="1"/>
        <v>0</v>
      </c>
      <c r="N16" s="77">
        <f t="shared" si="1"/>
        <v>0</v>
      </c>
      <c r="O16" s="77">
        <f t="shared" si="1"/>
        <v>0</v>
      </c>
      <c r="P16" s="77">
        <f t="shared" si="1"/>
        <v>0</v>
      </c>
      <c r="Q16" s="77">
        <f t="shared" si="1"/>
        <v>0</v>
      </c>
      <c r="R16" s="77">
        <f t="shared" si="1"/>
        <v>0</v>
      </c>
      <c r="S16" s="77">
        <f t="shared" si="1"/>
        <v>0</v>
      </c>
      <c r="T16" s="77">
        <f t="shared" si="1"/>
        <v>0</v>
      </c>
      <c r="U16" s="77">
        <f t="shared" si="1"/>
        <v>0</v>
      </c>
      <c r="V16" s="59"/>
      <c r="W16" s="59"/>
      <c r="X16" s="59"/>
      <c r="Y16" s="59"/>
      <c r="Z16" s="59"/>
      <c r="AA16" s="227"/>
    </row>
    <row r="17" spans="2:27" ht="15.75" x14ac:dyDescent="0.25">
      <c r="B17" s="219">
        <v>4</v>
      </c>
      <c r="C17" s="456" t="s">
        <v>217</v>
      </c>
      <c r="D17" s="456"/>
      <c r="E17" s="456"/>
      <c r="F17" s="123">
        <f>SUM(G17:J17,K17)</f>
        <v>0</v>
      </c>
      <c r="G17" s="116">
        <f>SUMIF($J$28:$J$87,"Project Evaluation",L$28:L$87)</f>
        <v>0</v>
      </c>
      <c r="H17" s="67">
        <f>SUMIF($J$28:$J$87,"Project Evaluation",M$28:M$87)</f>
        <v>0</v>
      </c>
      <c r="I17" s="67">
        <f>SUMIF($J$28:$J$87,"Project Evaluation",N$28:N$87)</f>
        <v>0</v>
      </c>
      <c r="J17" s="122">
        <f>SUMIF($J$28:$J$87,"Project Evaluation",O$28:O$87)</f>
        <v>0</v>
      </c>
      <c r="K17" s="116">
        <f t="shared" si="0"/>
        <v>0</v>
      </c>
      <c r="L17" s="67">
        <f t="shared" ref="L17:T17" si="2">SUMIF($J$28:$J$87,"Project Evaluation",Q$28:Q$87)</f>
        <v>0</v>
      </c>
      <c r="M17" s="67">
        <f t="shared" si="2"/>
        <v>0</v>
      </c>
      <c r="N17" s="67">
        <f t="shared" si="2"/>
        <v>0</v>
      </c>
      <c r="O17" s="67">
        <f t="shared" si="2"/>
        <v>0</v>
      </c>
      <c r="P17" s="67">
        <f t="shared" si="2"/>
        <v>0</v>
      </c>
      <c r="Q17" s="67">
        <f t="shared" si="2"/>
        <v>0</v>
      </c>
      <c r="R17" s="67">
        <f t="shared" si="2"/>
        <v>0</v>
      </c>
      <c r="S17" s="67">
        <f t="shared" si="2"/>
        <v>0</v>
      </c>
      <c r="T17" s="67">
        <f t="shared" si="2"/>
        <v>0</v>
      </c>
      <c r="U17" s="67">
        <f>SUMIF($J$28:$J$53,"Project Evaluation",Z$28:Z$53)</f>
        <v>0</v>
      </c>
      <c r="V17" s="59"/>
      <c r="W17" s="59"/>
      <c r="X17" s="59"/>
      <c r="Y17" s="59"/>
      <c r="Z17" s="59"/>
      <c r="AA17" s="227"/>
    </row>
    <row r="18" spans="2:27" ht="15.75" x14ac:dyDescent="0.25">
      <c r="B18" s="219">
        <v>5</v>
      </c>
      <c r="C18" s="456" t="s">
        <v>334</v>
      </c>
      <c r="D18" s="456"/>
      <c r="E18" s="456"/>
      <c r="F18" s="123">
        <f>SUM(G18:J18,K18)</f>
        <v>1856537.24</v>
      </c>
      <c r="G18" s="116">
        <f>SUMIF($J$28:$J$87,"Project Direct",L$28:L$87)</f>
        <v>0</v>
      </c>
      <c r="H18" s="67">
        <f>SUMIF($J$28:$J$87,"Project Direct",M$28:M$87)</f>
        <v>0</v>
      </c>
      <c r="I18" s="67">
        <f>SUMIF($J$28:$J$87,"Project Direct",N$28:N$87)</f>
        <v>0</v>
      </c>
      <c r="J18" s="122">
        <f>SUMIF($J$28:$J$87,"Project Direct",O$28:O$87)</f>
        <v>0</v>
      </c>
      <c r="K18" s="116">
        <f t="shared" si="0"/>
        <v>1856537.24</v>
      </c>
      <c r="L18" s="67">
        <f t="shared" ref="L18:T18" si="3">SUMIF($J$28:$J$87,"Project Direct",Q$28:Q$87)</f>
        <v>45612.95</v>
      </c>
      <c r="M18" s="67">
        <f t="shared" si="3"/>
        <v>0</v>
      </c>
      <c r="N18" s="67">
        <f t="shared" si="3"/>
        <v>0</v>
      </c>
      <c r="O18" s="67">
        <f t="shared" si="3"/>
        <v>0</v>
      </c>
      <c r="P18" s="67">
        <f t="shared" si="3"/>
        <v>0</v>
      </c>
      <c r="Q18" s="67">
        <f t="shared" si="3"/>
        <v>0</v>
      </c>
      <c r="R18" s="67">
        <f t="shared" si="3"/>
        <v>0</v>
      </c>
      <c r="S18" s="67">
        <f t="shared" si="3"/>
        <v>1810924.29</v>
      </c>
      <c r="T18" s="67">
        <f t="shared" si="3"/>
        <v>0</v>
      </c>
      <c r="U18" s="67">
        <f>SUMIF($J$28:$J$53,"Project Direct",Z$28:Z$53)</f>
        <v>0</v>
      </c>
      <c r="V18" s="59"/>
      <c r="W18" s="59"/>
      <c r="X18" s="59"/>
      <c r="Y18" s="59"/>
      <c r="Z18" s="59"/>
      <c r="AA18" s="227"/>
    </row>
    <row r="19" spans="2:27" ht="15.75" x14ac:dyDescent="0.25">
      <c r="B19" s="219">
        <v>6</v>
      </c>
      <c r="C19" s="495" t="s">
        <v>218</v>
      </c>
      <c r="D19" s="495"/>
      <c r="E19" s="495"/>
      <c r="F19" s="123">
        <f>SUM(F16:F18)</f>
        <v>1856537.24</v>
      </c>
      <c r="G19" s="117">
        <f>SUM(G16:G18)</f>
        <v>0</v>
      </c>
      <c r="H19" s="66">
        <f>SUM(H16:H18)</f>
        <v>0</v>
      </c>
      <c r="I19" s="66">
        <f>SUM(I16:I18)</f>
        <v>0</v>
      </c>
      <c r="J19" s="123">
        <f>SUM(J16:J18)</f>
        <v>0</v>
      </c>
      <c r="K19" s="117">
        <f t="shared" si="0"/>
        <v>1856537.24</v>
      </c>
      <c r="L19" s="66">
        <f t="shared" ref="L19:U19" si="4">SUM(L16:L18)</f>
        <v>45612.95</v>
      </c>
      <c r="M19" s="66">
        <f t="shared" si="4"/>
        <v>0</v>
      </c>
      <c r="N19" s="66">
        <f t="shared" si="4"/>
        <v>0</v>
      </c>
      <c r="O19" s="66">
        <f t="shared" si="4"/>
        <v>0</v>
      </c>
      <c r="P19" s="66">
        <f t="shared" si="4"/>
        <v>0</v>
      </c>
      <c r="Q19" s="66">
        <f t="shared" si="4"/>
        <v>0</v>
      </c>
      <c r="R19" s="66">
        <f t="shared" si="4"/>
        <v>0</v>
      </c>
      <c r="S19" s="66">
        <f t="shared" si="4"/>
        <v>1810924.29</v>
      </c>
      <c r="T19" s="66">
        <f t="shared" si="4"/>
        <v>0</v>
      </c>
      <c r="U19" s="66">
        <f t="shared" si="4"/>
        <v>0</v>
      </c>
      <c r="V19" s="59"/>
      <c r="W19" s="59"/>
      <c r="X19" s="59"/>
      <c r="Y19" s="59"/>
      <c r="Z19" s="59"/>
      <c r="AA19" s="227"/>
    </row>
    <row r="20" spans="2:27" ht="30.95" customHeight="1" x14ac:dyDescent="0.25">
      <c r="B20" s="219">
        <v>7</v>
      </c>
      <c r="C20" s="487" t="s">
        <v>335</v>
      </c>
      <c r="D20" s="487"/>
      <c r="E20" s="487"/>
      <c r="F20" s="123">
        <f t="shared" ref="F20:U20" si="5">SUM(F14:F15,F16:F18)</f>
        <v>1866944.76</v>
      </c>
      <c r="G20" s="118">
        <f t="shared" si="5"/>
        <v>0</v>
      </c>
      <c r="H20" s="68">
        <f t="shared" si="5"/>
        <v>0</v>
      </c>
      <c r="I20" s="68">
        <f t="shared" si="5"/>
        <v>0</v>
      </c>
      <c r="J20" s="124">
        <f t="shared" si="5"/>
        <v>0</v>
      </c>
      <c r="K20" s="118">
        <f t="shared" si="5"/>
        <v>1866944.76</v>
      </c>
      <c r="L20" s="68">
        <f t="shared" si="5"/>
        <v>56020.47</v>
      </c>
      <c r="M20" s="68">
        <f t="shared" si="5"/>
        <v>0</v>
      </c>
      <c r="N20" s="68">
        <f t="shared" si="5"/>
        <v>0</v>
      </c>
      <c r="O20" s="68">
        <f t="shared" si="5"/>
        <v>0</v>
      </c>
      <c r="P20" s="68">
        <f t="shared" si="5"/>
        <v>0</v>
      </c>
      <c r="Q20" s="68">
        <f t="shared" si="5"/>
        <v>0</v>
      </c>
      <c r="R20" s="68">
        <f t="shared" si="5"/>
        <v>0</v>
      </c>
      <c r="S20" s="68">
        <f t="shared" si="5"/>
        <v>1810924.29</v>
      </c>
      <c r="T20" s="68">
        <f t="shared" si="5"/>
        <v>0</v>
      </c>
      <c r="U20" s="68">
        <f t="shared" si="5"/>
        <v>0</v>
      </c>
      <c r="V20" s="59"/>
      <c r="W20" s="59"/>
      <c r="X20" s="59"/>
      <c r="Y20" s="59"/>
      <c r="Z20" s="59"/>
      <c r="AA20" s="227"/>
    </row>
    <row r="21" spans="2:27" ht="30.95" customHeight="1" x14ac:dyDescent="0.25">
      <c r="B21" s="219">
        <v>8</v>
      </c>
      <c r="C21" s="487" t="s">
        <v>308</v>
      </c>
      <c r="D21" s="487"/>
      <c r="E21" s="487"/>
      <c r="F21" s="240"/>
      <c r="G21" s="246"/>
      <c r="H21" s="247"/>
      <c r="I21" s="247"/>
      <c r="J21" s="240"/>
      <c r="K21" s="246">
        <f>SUM(L21,M21:U21)</f>
        <v>8506814.6500000004</v>
      </c>
      <c r="L21" s="247">
        <f>'2. Component Summary'!F27+'2. Component Summary'!F32</f>
        <v>56020.47</v>
      </c>
      <c r="M21" s="247">
        <f>'2. Component Summary'!F30+'2. Component Summary'!F31</f>
        <v>2269770.1800000002</v>
      </c>
      <c r="N21" s="247">
        <f>'2. Component Summary'!F26</f>
        <v>1714348</v>
      </c>
      <c r="O21" s="247">
        <f>'2. Component Summary'!F25</f>
        <v>2128367</v>
      </c>
      <c r="P21" s="247">
        <f>'2. Component Summary'!F24</f>
        <v>307497</v>
      </c>
      <c r="Q21" s="247">
        <f>'2. Component Summary'!F23</f>
        <v>0</v>
      </c>
      <c r="R21" s="247">
        <f>'2. Component Summary'!F22</f>
        <v>0</v>
      </c>
      <c r="S21" s="247">
        <f>'2. Component Summary'!F21</f>
        <v>2030812</v>
      </c>
      <c r="T21" s="247">
        <f>'2. Component Summary'!F20</f>
        <v>0</v>
      </c>
      <c r="U21" s="247">
        <f>'2. Component Summary'!F19</f>
        <v>0</v>
      </c>
      <c r="V21" s="227"/>
      <c r="W21" s="227"/>
      <c r="X21" s="227"/>
      <c r="Y21" s="227"/>
      <c r="Z21" s="227"/>
      <c r="AA21" s="227"/>
    </row>
    <row r="22" spans="2:27" x14ac:dyDescent="0.2">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row>
    <row r="23" spans="2:27" ht="18.75" thickBot="1" x14ac:dyDescent="0.3">
      <c r="B23" s="399" t="s">
        <v>386</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27"/>
    </row>
    <row r="24" spans="2:27" ht="15.75" thickTop="1" x14ac:dyDescent="0.2">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row>
    <row r="25" spans="2:27" x14ac:dyDescent="0.2">
      <c r="B25" s="227"/>
      <c r="C25" s="219" t="s">
        <v>59</v>
      </c>
      <c r="D25" s="219" t="s">
        <v>61</v>
      </c>
      <c r="E25" s="219" t="s">
        <v>65</v>
      </c>
      <c r="F25" s="219" t="s">
        <v>350</v>
      </c>
      <c r="G25" s="219" t="s">
        <v>351</v>
      </c>
      <c r="H25" s="219" t="s">
        <v>352</v>
      </c>
      <c r="I25" s="219" t="s">
        <v>361</v>
      </c>
      <c r="J25" s="219" t="s">
        <v>353</v>
      </c>
      <c r="K25" s="234" t="s">
        <v>354</v>
      </c>
      <c r="L25" s="259" t="s">
        <v>355</v>
      </c>
      <c r="M25" s="219" t="s">
        <v>356</v>
      </c>
      <c r="N25" s="219" t="s">
        <v>357</v>
      </c>
      <c r="O25" s="234" t="s">
        <v>358</v>
      </c>
      <c r="P25" s="259" t="s">
        <v>359</v>
      </c>
      <c r="Q25" s="219" t="s">
        <v>360</v>
      </c>
      <c r="R25" s="219" t="s">
        <v>362</v>
      </c>
      <c r="S25" s="219" t="s">
        <v>364</v>
      </c>
      <c r="T25" s="219" t="s">
        <v>365</v>
      </c>
      <c r="U25" s="219" t="s">
        <v>366</v>
      </c>
      <c r="V25" s="219" t="s">
        <v>367</v>
      </c>
      <c r="W25" s="219" t="s">
        <v>369</v>
      </c>
      <c r="X25" s="219" t="s">
        <v>370</v>
      </c>
      <c r="Y25" s="219" t="s">
        <v>371</v>
      </c>
      <c r="Z25" s="219" t="s">
        <v>325</v>
      </c>
      <c r="AA25" s="227"/>
    </row>
    <row r="26" spans="2:27" ht="15.75" x14ac:dyDescent="0.25">
      <c r="B26" s="75"/>
      <c r="C26" s="490" t="s">
        <v>222</v>
      </c>
      <c r="D26" s="490"/>
      <c r="E26" s="490"/>
      <c r="F26" s="490"/>
      <c r="G26" s="490"/>
      <c r="H26" s="490"/>
      <c r="I26" s="490"/>
      <c r="J26" s="490"/>
      <c r="K26" s="133"/>
      <c r="L26" s="493" t="s">
        <v>62</v>
      </c>
      <c r="M26" s="493"/>
      <c r="N26" s="493"/>
      <c r="O26" s="494"/>
      <c r="P26" s="488" t="s">
        <v>60</v>
      </c>
      <c r="Q26" s="489"/>
      <c r="R26" s="489"/>
      <c r="S26" s="489"/>
      <c r="T26" s="489"/>
      <c r="U26" s="489"/>
      <c r="V26" s="489"/>
      <c r="W26" s="489"/>
      <c r="X26" s="489"/>
      <c r="Y26" s="489"/>
      <c r="Z26" s="489"/>
      <c r="AA26" s="14"/>
    </row>
    <row r="27" spans="2:27" ht="78.75" x14ac:dyDescent="0.2">
      <c r="B27" s="296" t="s">
        <v>177</v>
      </c>
      <c r="C27" s="69" t="s">
        <v>20</v>
      </c>
      <c r="D27" s="82" t="s">
        <v>22</v>
      </c>
      <c r="E27" s="76" t="s">
        <v>36</v>
      </c>
      <c r="F27" s="76" t="s">
        <v>207</v>
      </c>
      <c r="G27" s="76" t="s">
        <v>23</v>
      </c>
      <c r="H27" s="76" t="s">
        <v>204</v>
      </c>
      <c r="I27" s="76" t="s">
        <v>205</v>
      </c>
      <c r="J27" s="65" t="s">
        <v>206</v>
      </c>
      <c r="K27" s="127" t="s">
        <v>241</v>
      </c>
      <c r="L27" s="130" t="s">
        <v>7</v>
      </c>
      <c r="M27" s="81" t="s">
        <v>8</v>
      </c>
      <c r="N27" s="81" t="s">
        <v>32</v>
      </c>
      <c r="O27" s="134" t="s">
        <v>33</v>
      </c>
      <c r="P27" s="213" t="s">
        <v>337</v>
      </c>
      <c r="Q27" s="81" t="s">
        <v>277</v>
      </c>
      <c r="R27" s="76" t="s">
        <v>24</v>
      </c>
      <c r="S27" s="76" t="s">
        <v>25</v>
      </c>
      <c r="T27" s="76" t="s">
        <v>26</v>
      </c>
      <c r="U27" s="76" t="s">
        <v>27</v>
      </c>
      <c r="V27" s="76" t="s">
        <v>28</v>
      </c>
      <c r="W27" s="76" t="s">
        <v>29</v>
      </c>
      <c r="X27" s="76" t="s">
        <v>30</v>
      </c>
      <c r="Y27" s="76" t="s">
        <v>31</v>
      </c>
      <c r="Z27" s="81" t="s">
        <v>208</v>
      </c>
      <c r="AA27" s="227"/>
    </row>
    <row r="28" spans="2:27" x14ac:dyDescent="0.2">
      <c r="B28" s="252">
        <v>1</v>
      </c>
      <c r="C28" s="297">
        <f>IF(AND(NOT(COUNTA(D28:I28)),(NOT(COUNTA(L28:O28))),(NOT(COUNTA(R28:Z28)))),"",VLOOKUP($D$7,Info_County_Code,2,FALSE))</f>
        <v>10</v>
      </c>
      <c r="D28" s="437" t="s">
        <v>433</v>
      </c>
      <c r="E28" s="298"/>
      <c r="F28" s="298"/>
      <c r="G28" s="298">
        <v>40949</v>
      </c>
      <c r="H28" s="242">
        <v>1271320</v>
      </c>
      <c r="I28" s="242"/>
      <c r="J28" s="246" t="s">
        <v>212</v>
      </c>
      <c r="K28" s="240">
        <f t="shared" ref="K28:K87" si="6">SUM(L28:O28,P28)</f>
        <v>0</v>
      </c>
      <c r="L28" s="248"/>
      <c r="M28" s="242"/>
      <c r="N28" s="242"/>
      <c r="O28" s="243"/>
      <c r="P28" s="244">
        <f>SUM(Q28,R28:Z28)</f>
        <v>0</v>
      </c>
      <c r="Q28" s="242"/>
      <c r="R28" s="242"/>
      <c r="S28" s="242"/>
      <c r="T28" s="242"/>
      <c r="U28" s="242"/>
      <c r="V28" s="242"/>
      <c r="W28" s="242"/>
      <c r="X28" s="242"/>
      <c r="Y28" s="242"/>
      <c r="Z28" s="242"/>
      <c r="AA28" s="227"/>
    </row>
    <row r="29" spans="2:27" x14ac:dyDescent="0.2">
      <c r="B29" s="252">
        <v>1</v>
      </c>
      <c r="C29" s="299">
        <f t="shared" ref="C29:I29" si="7">IF(ISBLANK(C28),"",C28)</f>
        <v>10</v>
      </c>
      <c r="D29" s="300" t="str">
        <f t="shared" si="7"/>
        <v>Integrated Discharge</v>
      </c>
      <c r="E29" s="301" t="str">
        <f t="shared" si="7"/>
        <v/>
      </c>
      <c r="F29" s="301" t="str">
        <f t="shared" si="7"/>
        <v/>
      </c>
      <c r="G29" s="301">
        <f t="shared" si="7"/>
        <v>40949</v>
      </c>
      <c r="H29" s="250">
        <f t="shared" si="7"/>
        <v>1271320</v>
      </c>
      <c r="I29" s="250" t="str">
        <f t="shared" si="7"/>
        <v/>
      </c>
      <c r="J29" s="247" t="s">
        <v>213</v>
      </c>
      <c r="K29" s="240">
        <f t="shared" si="6"/>
        <v>0</v>
      </c>
      <c r="L29" s="248"/>
      <c r="M29" s="242"/>
      <c r="N29" s="242"/>
      <c r="O29" s="243"/>
      <c r="P29" s="244">
        <f t="shared" ref="P29:P87" si="8">SUM(Q29,R29:Z29)</f>
        <v>0</v>
      </c>
      <c r="Q29" s="242"/>
      <c r="R29" s="242"/>
      <c r="S29" s="242"/>
      <c r="T29" s="242"/>
      <c r="U29" s="242"/>
      <c r="V29" s="242"/>
      <c r="W29" s="242"/>
      <c r="X29" s="242"/>
      <c r="Y29" s="242"/>
      <c r="Z29" s="242"/>
      <c r="AA29" s="227"/>
    </row>
    <row r="30" spans="2:27" x14ac:dyDescent="0.2">
      <c r="B30" s="252">
        <v>1</v>
      </c>
      <c r="C30" s="299">
        <f t="shared" ref="C30:H30" si="9">IF(ISBLANK(C28),"",C28)</f>
        <v>10</v>
      </c>
      <c r="D30" s="302" t="str">
        <f t="shared" si="9"/>
        <v>Integrated Discharge</v>
      </c>
      <c r="E30" s="303" t="str">
        <f t="shared" si="9"/>
        <v/>
      </c>
      <c r="F30" s="303" t="str">
        <f t="shared" si="9"/>
        <v/>
      </c>
      <c r="G30" s="303">
        <f t="shared" si="9"/>
        <v>40949</v>
      </c>
      <c r="H30" s="247">
        <f t="shared" si="9"/>
        <v>1271320</v>
      </c>
      <c r="I30" s="247"/>
      <c r="J30" s="247" t="s">
        <v>338</v>
      </c>
      <c r="K30" s="240">
        <f t="shared" si="6"/>
        <v>52541.18</v>
      </c>
      <c r="L30" s="248"/>
      <c r="M30" s="242"/>
      <c r="N30" s="242"/>
      <c r="O30" s="243"/>
      <c r="P30" s="244">
        <f t="shared" si="8"/>
        <v>52541.18</v>
      </c>
      <c r="Q30" s="242">
        <f>56020.47-10407.52</f>
        <v>45612.95</v>
      </c>
      <c r="R30" s="242"/>
      <c r="S30" s="242"/>
      <c r="T30" s="242"/>
      <c r="U30" s="242"/>
      <c r="V30" s="242"/>
      <c r="W30" s="242"/>
      <c r="X30" s="242">
        <f>52541.18-45612.95</f>
        <v>6928.2300000000032</v>
      </c>
      <c r="Y30" s="242"/>
      <c r="Z30" s="242"/>
      <c r="AA30" s="227"/>
    </row>
    <row r="31" spans="2:27" ht="15.75" x14ac:dyDescent="0.25">
      <c r="B31" s="210">
        <v>1</v>
      </c>
      <c r="C31" s="70">
        <f t="shared" ref="C31:I31" si="10">IF(ISBLANK(C28),"",C28)</f>
        <v>10</v>
      </c>
      <c r="D31" s="83" t="str">
        <f t="shared" si="10"/>
        <v>Integrated Discharge</v>
      </c>
      <c r="E31" s="84" t="str">
        <f t="shared" si="10"/>
        <v/>
      </c>
      <c r="F31" s="84" t="str">
        <f t="shared" si="10"/>
        <v/>
      </c>
      <c r="G31" s="84">
        <f t="shared" si="10"/>
        <v>40949</v>
      </c>
      <c r="H31" s="85">
        <f t="shared" si="10"/>
        <v>1271320</v>
      </c>
      <c r="I31" s="85" t="str">
        <f t="shared" si="10"/>
        <v/>
      </c>
      <c r="J31" s="53" t="s">
        <v>390</v>
      </c>
      <c r="K31" s="111">
        <f t="shared" si="6"/>
        <v>52541.18</v>
      </c>
      <c r="L31" s="131">
        <f>SUM(L28:L30)</f>
        <v>0</v>
      </c>
      <c r="M31" s="86">
        <f>SUM(M28:M30)</f>
        <v>0</v>
      </c>
      <c r="N31" s="86">
        <f>SUM(N28:N30)</f>
        <v>0</v>
      </c>
      <c r="O31" s="135">
        <f>SUM(O28:O30)</f>
        <v>0</v>
      </c>
      <c r="P31" s="109">
        <f t="shared" si="8"/>
        <v>52541.18</v>
      </c>
      <c r="Q31" s="86">
        <f t="shared" ref="Q31:Z31" si="11">SUM(Q28:Q30)</f>
        <v>45612.95</v>
      </c>
      <c r="R31" s="86">
        <f t="shared" si="11"/>
        <v>0</v>
      </c>
      <c r="S31" s="86">
        <f t="shared" si="11"/>
        <v>0</v>
      </c>
      <c r="T31" s="86">
        <f t="shared" si="11"/>
        <v>0</v>
      </c>
      <c r="U31" s="86">
        <f t="shared" si="11"/>
        <v>0</v>
      </c>
      <c r="V31" s="86">
        <f t="shared" si="11"/>
        <v>0</v>
      </c>
      <c r="W31" s="86">
        <f t="shared" si="11"/>
        <v>0</v>
      </c>
      <c r="X31" s="86">
        <f t="shared" si="11"/>
        <v>6928.2300000000032</v>
      </c>
      <c r="Y31" s="86">
        <f t="shared" si="11"/>
        <v>0</v>
      </c>
      <c r="Z31" s="86">
        <f t="shared" si="11"/>
        <v>0</v>
      </c>
      <c r="AA31" s="227"/>
    </row>
    <row r="32" spans="2:27" x14ac:dyDescent="0.2">
      <c r="B32" s="252">
        <v>2</v>
      </c>
      <c r="C32" s="297">
        <f>IF(AND(NOT(COUNTA(D32:I32)),(NOT(COUNTA(L32:O32))),(NOT(COUNTA(R32:Z32)))),"",VLOOKUP($D$7,Info_County_Code,2,FALSE))</f>
        <v>10</v>
      </c>
      <c r="D32" s="437" t="s">
        <v>434</v>
      </c>
      <c r="E32" s="298"/>
      <c r="F32" s="298"/>
      <c r="G32" s="298">
        <v>41051</v>
      </c>
      <c r="H32" s="242">
        <v>701003</v>
      </c>
      <c r="I32" s="242"/>
      <c r="J32" s="246" t="str">
        <f>IF(NOT(ISBLANK(D32)),$J$28,"")</f>
        <v>Project Administration</v>
      </c>
      <c r="K32" s="240">
        <f t="shared" si="6"/>
        <v>0</v>
      </c>
      <c r="L32" s="248"/>
      <c r="M32" s="242"/>
      <c r="N32" s="242"/>
      <c r="O32" s="243"/>
      <c r="P32" s="244">
        <f t="shared" si="8"/>
        <v>0</v>
      </c>
      <c r="Q32" s="242"/>
      <c r="R32" s="242"/>
      <c r="S32" s="242"/>
      <c r="T32" s="242"/>
      <c r="U32" s="242"/>
      <c r="V32" s="242"/>
      <c r="W32" s="242"/>
      <c r="X32" s="242"/>
      <c r="Y32" s="242"/>
      <c r="Z32" s="242"/>
      <c r="AA32" s="227"/>
    </row>
    <row r="33" spans="2:27" x14ac:dyDescent="0.2">
      <c r="B33" s="252">
        <v>2</v>
      </c>
      <c r="C33" s="299">
        <f t="shared" ref="C33:I33" si="12">IF(ISBLANK(C32),"",C32)</f>
        <v>10</v>
      </c>
      <c r="D33" s="300" t="str">
        <f t="shared" si="12"/>
        <v>ED Team/Overnight Stay</v>
      </c>
      <c r="E33" s="301" t="str">
        <f t="shared" si="12"/>
        <v/>
      </c>
      <c r="F33" s="301" t="str">
        <f t="shared" si="12"/>
        <v/>
      </c>
      <c r="G33" s="301">
        <f t="shared" si="12"/>
        <v>41051</v>
      </c>
      <c r="H33" s="250">
        <f t="shared" si="12"/>
        <v>701003</v>
      </c>
      <c r="I33" s="250" t="str">
        <f t="shared" si="12"/>
        <v/>
      </c>
      <c r="J33" s="247" t="str">
        <f>IF(NOT(ISBLANK(D32)),$J$29,"")</f>
        <v>Project Evaluation</v>
      </c>
      <c r="K33" s="240">
        <f t="shared" si="6"/>
        <v>0</v>
      </c>
      <c r="L33" s="248"/>
      <c r="M33" s="242"/>
      <c r="N33" s="242"/>
      <c r="O33" s="243"/>
      <c r="P33" s="244">
        <f t="shared" si="8"/>
        <v>0</v>
      </c>
      <c r="Q33" s="242"/>
      <c r="R33" s="242"/>
      <c r="S33" s="242"/>
      <c r="T33" s="242"/>
      <c r="U33" s="242"/>
      <c r="V33" s="242"/>
      <c r="W33" s="242"/>
      <c r="X33" s="242"/>
      <c r="Y33" s="242"/>
      <c r="Z33" s="242"/>
      <c r="AA33" s="227"/>
    </row>
    <row r="34" spans="2:27" x14ac:dyDescent="0.2">
      <c r="B34" s="252">
        <v>2</v>
      </c>
      <c r="C34" s="299">
        <f t="shared" ref="C34:I34" si="13">IF(ISBLANK(C32),"",C32)</f>
        <v>10</v>
      </c>
      <c r="D34" s="302" t="str">
        <f t="shared" si="13"/>
        <v>ED Team/Overnight Stay</v>
      </c>
      <c r="E34" s="303" t="str">
        <f t="shared" si="13"/>
        <v/>
      </c>
      <c r="F34" s="303" t="str">
        <f t="shared" si="13"/>
        <v/>
      </c>
      <c r="G34" s="303">
        <f t="shared" si="13"/>
        <v>41051</v>
      </c>
      <c r="H34" s="247">
        <f t="shared" si="13"/>
        <v>701003</v>
      </c>
      <c r="I34" s="247" t="str">
        <f t="shared" si="13"/>
        <v/>
      </c>
      <c r="J34" s="247" t="str">
        <f>IF(NOT(ISBLANK(D32)),$J$30,"")</f>
        <v>Project Direct</v>
      </c>
      <c r="K34" s="240">
        <f t="shared" si="6"/>
        <v>853305.76</v>
      </c>
      <c r="L34" s="248"/>
      <c r="M34" s="242"/>
      <c r="N34" s="242"/>
      <c r="O34" s="243"/>
      <c r="P34" s="244">
        <f t="shared" si="8"/>
        <v>853305.76</v>
      </c>
      <c r="Q34" s="432"/>
      <c r="R34" s="242"/>
      <c r="S34" s="242"/>
      <c r="T34" s="242"/>
      <c r="U34" s="242"/>
      <c r="V34" s="242"/>
      <c r="W34" s="242"/>
      <c r="X34" s="242">
        <v>853305.76</v>
      </c>
      <c r="Y34" s="242"/>
      <c r="Z34" s="242"/>
      <c r="AA34" s="227"/>
    </row>
    <row r="35" spans="2:27" ht="15.75" x14ac:dyDescent="0.25">
      <c r="B35" s="210">
        <v>2</v>
      </c>
      <c r="C35" s="70">
        <f t="shared" ref="C35:I35" si="14">IF(ISBLANK(C32),"",C32)</f>
        <v>10</v>
      </c>
      <c r="D35" s="83" t="str">
        <f t="shared" si="14"/>
        <v>ED Team/Overnight Stay</v>
      </c>
      <c r="E35" s="84" t="str">
        <f t="shared" si="14"/>
        <v/>
      </c>
      <c r="F35" s="84" t="str">
        <f t="shared" si="14"/>
        <v/>
      </c>
      <c r="G35" s="84">
        <f t="shared" si="14"/>
        <v>41051</v>
      </c>
      <c r="H35" s="85">
        <f t="shared" si="14"/>
        <v>701003</v>
      </c>
      <c r="I35" s="85" t="str">
        <f t="shared" si="14"/>
        <v/>
      </c>
      <c r="J35" s="53" t="str">
        <f>IF(NOT(ISBLANK(D32)),$J$31,"")</f>
        <v>Project Subtotal</v>
      </c>
      <c r="K35" s="111">
        <f t="shared" si="6"/>
        <v>853305.76</v>
      </c>
      <c r="L35" s="131">
        <f>SUM(L32:L34)</f>
        <v>0</v>
      </c>
      <c r="M35" s="86">
        <f>SUM(M32:M34)</f>
        <v>0</v>
      </c>
      <c r="N35" s="86">
        <f>SUM(N32:N34)</f>
        <v>0</v>
      </c>
      <c r="O35" s="135">
        <f>SUM(O32:O34)</f>
        <v>0</v>
      </c>
      <c r="P35" s="109">
        <f t="shared" si="8"/>
        <v>853305.76</v>
      </c>
      <c r="Q35" s="86">
        <f t="shared" ref="Q35:Z35" si="15">SUM(Q32:Q34)</f>
        <v>0</v>
      </c>
      <c r="R35" s="86">
        <f t="shared" si="15"/>
        <v>0</v>
      </c>
      <c r="S35" s="86">
        <f t="shared" si="15"/>
        <v>0</v>
      </c>
      <c r="T35" s="86">
        <f t="shared" si="15"/>
        <v>0</v>
      </c>
      <c r="U35" s="86">
        <f t="shared" si="15"/>
        <v>0</v>
      </c>
      <c r="V35" s="86">
        <f t="shared" si="15"/>
        <v>0</v>
      </c>
      <c r="W35" s="86">
        <f t="shared" si="15"/>
        <v>0</v>
      </c>
      <c r="X35" s="86">
        <f t="shared" si="15"/>
        <v>853305.76</v>
      </c>
      <c r="Y35" s="86">
        <f t="shared" si="15"/>
        <v>0</v>
      </c>
      <c r="Z35" s="86">
        <f t="shared" si="15"/>
        <v>0</v>
      </c>
      <c r="AA35" s="227"/>
    </row>
    <row r="36" spans="2:27" x14ac:dyDescent="0.2">
      <c r="B36" s="252">
        <v>3</v>
      </c>
      <c r="C36" s="297">
        <f>IF(AND(NOT(COUNTA(D36:I36)),(NOT(COUNTA(L36:O36))),(NOT(COUNTA(R36:Z36)))),"",VLOOKUP($D$7,Info_County_Code,2,FALSE))</f>
        <v>10</v>
      </c>
      <c r="D36" s="437" t="s">
        <v>435</v>
      </c>
      <c r="E36" s="298"/>
      <c r="F36" s="298"/>
      <c r="G36" s="298">
        <v>41079</v>
      </c>
      <c r="H36" s="242">
        <v>686075</v>
      </c>
      <c r="I36" s="242"/>
      <c r="J36" s="246" t="str">
        <f>IF(NOT(ISBLANK(D36)),$J$28,"")</f>
        <v>Project Administration</v>
      </c>
      <c r="K36" s="240">
        <f t="shared" si="6"/>
        <v>0</v>
      </c>
      <c r="L36" s="248"/>
      <c r="M36" s="242"/>
      <c r="N36" s="242"/>
      <c r="O36" s="243"/>
      <c r="P36" s="244">
        <f t="shared" si="8"/>
        <v>0</v>
      </c>
      <c r="Q36" s="242"/>
      <c r="R36" s="242"/>
      <c r="S36" s="242"/>
      <c r="T36" s="242"/>
      <c r="U36" s="242"/>
      <c r="V36" s="242"/>
      <c r="W36" s="242"/>
      <c r="X36" s="242"/>
      <c r="Y36" s="242"/>
      <c r="Z36" s="242"/>
      <c r="AA36" s="227"/>
    </row>
    <row r="37" spans="2:27" x14ac:dyDescent="0.2">
      <c r="B37" s="252">
        <v>3</v>
      </c>
      <c r="C37" s="299">
        <f t="shared" ref="C37:I37" si="16">IF(ISBLANK(C36),"",C36)</f>
        <v>10</v>
      </c>
      <c r="D37" s="300" t="str">
        <f t="shared" si="16"/>
        <v>Holistic Center</v>
      </c>
      <c r="E37" s="301" t="str">
        <f t="shared" si="16"/>
        <v/>
      </c>
      <c r="F37" s="301" t="str">
        <f t="shared" si="16"/>
        <v/>
      </c>
      <c r="G37" s="301">
        <f t="shared" si="16"/>
        <v>41079</v>
      </c>
      <c r="H37" s="250">
        <f t="shared" si="16"/>
        <v>686075</v>
      </c>
      <c r="I37" s="250" t="str">
        <f t="shared" si="16"/>
        <v/>
      </c>
      <c r="J37" s="247" t="str">
        <f>IF(NOT(ISBLANK(D36)),$J$29,"")</f>
        <v>Project Evaluation</v>
      </c>
      <c r="K37" s="240">
        <f t="shared" si="6"/>
        <v>0</v>
      </c>
      <c r="L37" s="248"/>
      <c r="M37" s="242"/>
      <c r="N37" s="242"/>
      <c r="O37" s="243"/>
      <c r="P37" s="244">
        <f t="shared" si="8"/>
        <v>0</v>
      </c>
      <c r="Q37" s="242"/>
      <c r="R37" s="242"/>
      <c r="S37" s="242"/>
      <c r="T37" s="242"/>
      <c r="U37" s="242"/>
      <c r="V37" s="242"/>
      <c r="W37" s="242"/>
      <c r="X37" s="242"/>
      <c r="Y37" s="242"/>
      <c r="Z37" s="242"/>
      <c r="AA37" s="227"/>
    </row>
    <row r="38" spans="2:27" x14ac:dyDescent="0.2">
      <c r="B38" s="252">
        <v>3</v>
      </c>
      <c r="C38" s="299">
        <f t="shared" ref="C38:I38" si="17">IF(ISBLANK(C36),"",C36)</f>
        <v>10</v>
      </c>
      <c r="D38" s="302" t="str">
        <f t="shared" si="17"/>
        <v>Holistic Center</v>
      </c>
      <c r="E38" s="303" t="str">
        <f t="shared" si="17"/>
        <v/>
      </c>
      <c r="F38" s="303" t="str">
        <f t="shared" si="17"/>
        <v/>
      </c>
      <c r="G38" s="303">
        <f t="shared" si="17"/>
        <v>41079</v>
      </c>
      <c r="H38" s="247">
        <f t="shared" si="17"/>
        <v>686075</v>
      </c>
      <c r="I38" s="247" t="str">
        <f t="shared" si="17"/>
        <v/>
      </c>
      <c r="J38" s="247" t="str">
        <f>IF(NOT(ISBLANK(D36)),$J$30,"")</f>
        <v>Project Direct</v>
      </c>
      <c r="K38" s="240">
        <f t="shared" si="6"/>
        <v>730911.21</v>
      </c>
      <c r="L38" s="248"/>
      <c r="M38" s="242"/>
      <c r="N38" s="242"/>
      <c r="O38" s="243"/>
      <c r="P38" s="244">
        <f t="shared" si="8"/>
        <v>730911.21</v>
      </c>
      <c r="Q38" s="242"/>
      <c r="R38" s="242"/>
      <c r="S38" s="242"/>
      <c r="T38" s="242"/>
      <c r="U38" s="242"/>
      <c r="V38" s="242"/>
      <c r="W38" s="242"/>
      <c r="X38" s="242">
        <v>730911.21</v>
      </c>
      <c r="Y38" s="242"/>
      <c r="Z38" s="242"/>
      <c r="AA38" s="227"/>
    </row>
    <row r="39" spans="2:27" ht="15.75" x14ac:dyDescent="0.25">
      <c r="B39" s="210">
        <v>3</v>
      </c>
      <c r="C39" s="70">
        <f t="shared" ref="C39:I39" si="18">IF(ISBLANK(C36),"",C36)</f>
        <v>10</v>
      </c>
      <c r="D39" s="83" t="str">
        <f t="shared" si="18"/>
        <v>Holistic Center</v>
      </c>
      <c r="E39" s="84" t="str">
        <f t="shared" si="18"/>
        <v/>
      </c>
      <c r="F39" s="84" t="str">
        <f t="shared" si="18"/>
        <v/>
      </c>
      <c r="G39" s="84">
        <f t="shared" si="18"/>
        <v>41079</v>
      </c>
      <c r="H39" s="85">
        <f t="shared" si="18"/>
        <v>686075</v>
      </c>
      <c r="I39" s="85" t="str">
        <f t="shared" si="18"/>
        <v/>
      </c>
      <c r="J39" s="53" t="str">
        <f>IF(NOT(ISBLANK(D36)),$J$31,"")</f>
        <v>Project Subtotal</v>
      </c>
      <c r="K39" s="111">
        <f t="shared" si="6"/>
        <v>730911.21</v>
      </c>
      <c r="L39" s="131">
        <f>SUM(L36:L38)</f>
        <v>0</v>
      </c>
      <c r="M39" s="86">
        <f>SUM(M36:M38)</f>
        <v>0</v>
      </c>
      <c r="N39" s="86">
        <f>SUM(N36:N38)</f>
        <v>0</v>
      </c>
      <c r="O39" s="135">
        <f>SUM(O36:O38)</f>
        <v>0</v>
      </c>
      <c r="P39" s="109">
        <f t="shared" si="8"/>
        <v>730911.21</v>
      </c>
      <c r="Q39" s="86">
        <f t="shared" ref="Q39:Z39" si="19">SUM(Q36:Q38)</f>
        <v>0</v>
      </c>
      <c r="R39" s="86">
        <f t="shared" si="19"/>
        <v>0</v>
      </c>
      <c r="S39" s="86">
        <f t="shared" si="19"/>
        <v>0</v>
      </c>
      <c r="T39" s="86">
        <f t="shared" si="19"/>
        <v>0</v>
      </c>
      <c r="U39" s="86">
        <f t="shared" si="19"/>
        <v>0</v>
      </c>
      <c r="V39" s="86">
        <f t="shared" si="19"/>
        <v>0</v>
      </c>
      <c r="W39" s="86">
        <f t="shared" si="19"/>
        <v>0</v>
      </c>
      <c r="X39" s="86">
        <f t="shared" si="19"/>
        <v>730911.21</v>
      </c>
      <c r="Y39" s="86">
        <f t="shared" si="19"/>
        <v>0</v>
      </c>
      <c r="Z39" s="86">
        <f t="shared" si="19"/>
        <v>0</v>
      </c>
      <c r="AA39" s="227"/>
    </row>
    <row r="40" spans="2:27" x14ac:dyDescent="0.2">
      <c r="B40" s="252">
        <v>4</v>
      </c>
      <c r="C40" s="297">
        <f>IF(AND(NOT(COUNTA(D40:I40)),(NOT(COUNTA(L40:O40))),(NOT(COUNTA(R40:Z40)))),"",VLOOKUP($D$7,Info_County_Code,2,FALSE))</f>
        <v>10</v>
      </c>
      <c r="D40" s="437" t="s">
        <v>436</v>
      </c>
      <c r="E40" s="298"/>
      <c r="F40" s="298"/>
      <c r="G40" s="298">
        <v>41023</v>
      </c>
      <c r="H40" s="242">
        <v>449279</v>
      </c>
      <c r="I40" s="242"/>
      <c r="J40" s="246" t="str">
        <f>IF(NOT(ISBLANK(D40)),$J$28,"")</f>
        <v>Project Administration</v>
      </c>
      <c r="K40" s="240">
        <f t="shared" si="6"/>
        <v>0</v>
      </c>
      <c r="L40" s="248"/>
      <c r="M40" s="242"/>
      <c r="N40" s="242"/>
      <c r="O40" s="243"/>
      <c r="P40" s="244">
        <f t="shared" si="8"/>
        <v>0</v>
      </c>
      <c r="Q40" s="242"/>
      <c r="R40" s="242"/>
      <c r="S40" s="242"/>
      <c r="T40" s="242"/>
      <c r="U40" s="242"/>
      <c r="V40" s="242"/>
      <c r="W40" s="242"/>
      <c r="X40" s="242"/>
      <c r="Y40" s="242"/>
      <c r="Z40" s="242"/>
      <c r="AA40" s="227"/>
    </row>
    <row r="41" spans="2:27" x14ac:dyDescent="0.2">
      <c r="B41" s="252">
        <v>4</v>
      </c>
      <c r="C41" s="299">
        <f t="shared" ref="C41:I41" si="20">IF(ISBLANK(C40),"",C40)</f>
        <v>10</v>
      </c>
      <c r="D41" s="300" t="str">
        <f t="shared" si="20"/>
        <v>AB 109</v>
      </c>
      <c r="E41" s="301" t="str">
        <f t="shared" si="20"/>
        <v/>
      </c>
      <c r="F41" s="301" t="str">
        <f t="shared" si="20"/>
        <v/>
      </c>
      <c r="G41" s="301">
        <f t="shared" si="20"/>
        <v>41023</v>
      </c>
      <c r="H41" s="250">
        <f t="shared" si="20"/>
        <v>449279</v>
      </c>
      <c r="I41" s="250" t="str">
        <f t="shared" si="20"/>
        <v/>
      </c>
      <c r="J41" s="247" t="str">
        <f>IF(NOT(ISBLANK(D40)),$J$29,"")</f>
        <v>Project Evaluation</v>
      </c>
      <c r="K41" s="240">
        <f t="shared" si="6"/>
        <v>0</v>
      </c>
      <c r="L41" s="248"/>
      <c r="M41" s="242"/>
      <c r="N41" s="242"/>
      <c r="O41" s="243"/>
      <c r="P41" s="244">
        <f t="shared" si="8"/>
        <v>0</v>
      </c>
      <c r="Q41" s="242"/>
      <c r="R41" s="242"/>
      <c r="S41" s="242"/>
      <c r="T41" s="242"/>
      <c r="U41" s="242"/>
      <c r="V41" s="242"/>
      <c r="W41" s="242"/>
      <c r="X41" s="242"/>
      <c r="Y41" s="242"/>
      <c r="Z41" s="242"/>
      <c r="AA41" s="227"/>
    </row>
    <row r="42" spans="2:27" x14ac:dyDescent="0.2">
      <c r="B42" s="252">
        <v>4</v>
      </c>
      <c r="C42" s="299">
        <f t="shared" ref="C42:I42" si="21">IF(ISBLANK(C40),"",C40)</f>
        <v>10</v>
      </c>
      <c r="D42" s="302" t="str">
        <f t="shared" si="21"/>
        <v>AB 109</v>
      </c>
      <c r="E42" s="303" t="str">
        <f t="shared" si="21"/>
        <v/>
      </c>
      <c r="F42" s="303" t="str">
        <f t="shared" si="21"/>
        <v/>
      </c>
      <c r="G42" s="303">
        <f t="shared" si="21"/>
        <v>41023</v>
      </c>
      <c r="H42" s="247">
        <f t="shared" si="21"/>
        <v>449279</v>
      </c>
      <c r="I42" s="247" t="str">
        <f t="shared" si="21"/>
        <v/>
      </c>
      <c r="J42" s="247" t="str">
        <f>IF(NOT(ISBLANK(D40)),$J$30,"")</f>
        <v>Project Direct</v>
      </c>
      <c r="K42" s="240">
        <f t="shared" si="6"/>
        <v>219779.09</v>
      </c>
      <c r="L42" s="248"/>
      <c r="M42" s="242"/>
      <c r="N42" s="242"/>
      <c r="O42" s="243"/>
      <c r="P42" s="244">
        <f t="shared" si="8"/>
        <v>219779.09</v>
      </c>
      <c r="Q42" s="242"/>
      <c r="R42" s="242"/>
      <c r="S42" s="242"/>
      <c r="T42" s="242"/>
      <c r="U42" s="242"/>
      <c r="V42" s="242"/>
      <c r="W42" s="242"/>
      <c r="X42" s="242">
        <v>219779.09</v>
      </c>
      <c r="Y42" s="242"/>
      <c r="Z42" s="242"/>
      <c r="AA42" s="227"/>
    </row>
    <row r="43" spans="2:27" ht="15.75" x14ac:dyDescent="0.25">
      <c r="B43" s="210">
        <v>4</v>
      </c>
      <c r="C43" s="70">
        <f t="shared" ref="C43:I43" si="22">IF(ISBLANK(C40),"",C40)</f>
        <v>10</v>
      </c>
      <c r="D43" s="83" t="str">
        <f t="shared" si="22"/>
        <v>AB 109</v>
      </c>
      <c r="E43" s="84" t="str">
        <f t="shared" si="22"/>
        <v/>
      </c>
      <c r="F43" s="84" t="str">
        <f t="shared" si="22"/>
        <v/>
      </c>
      <c r="G43" s="84">
        <f t="shared" si="22"/>
        <v>41023</v>
      </c>
      <c r="H43" s="85">
        <f t="shared" si="22"/>
        <v>449279</v>
      </c>
      <c r="I43" s="85" t="str">
        <f t="shared" si="22"/>
        <v/>
      </c>
      <c r="J43" s="53" t="str">
        <f>IF(NOT(ISBLANK(D40)),$J$31,"")</f>
        <v>Project Subtotal</v>
      </c>
      <c r="K43" s="111">
        <f t="shared" si="6"/>
        <v>219779.09</v>
      </c>
      <c r="L43" s="131">
        <f>SUM(L40:L42)</f>
        <v>0</v>
      </c>
      <c r="M43" s="86">
        <f>SUM(M40:M42)</f>
        <v>0</v>
      </c>
      <c r="N43" s="86">
        <f>SUM(N40:N42)</f>
        <v>0</v>
      </c>
      <c r="O43" s="135">
        <f>SUM(O40:O42)</f>
        <v>0</v>
      </c>
      <c r="P43" s="109">
        <f t="shared" si="8"/>
        <v>219779.09</v>
      </c>
      <c r="Q43" s="86">
        <f t="shared" ref="Q43:Z43" si="23">SUM(Q40:Q42)</f>
        <v>0</v>
      </c>
      <c r="R43" s="86">
        <f t="shared" si="23"/>
        <v>0</v>
      </c>
      <c r="S43" s="86">
        <f t="shared" si="23"/>
        <v>0</v>
      </c>
      <c r="T43" s="86">
        <f t="shared" si="23"/>
        <v>0</v>
      </c>
      <c r="U43" s="86">
        <f t="shared" si="23"/>
        <v>0</v>
      </c>
      <c r="V43" s="86">
        <f t="shared" si="23"/>
        <v>0</v>
      </c>
      <c r="W43" s="86">
        <f t="shared" si="23"/>
        <v>0</v>
      </c>
      <c r="X43" s="86">
        <f t="shared" si="23"/>
        <v>219779.09</v>
      </c>
      <c r="Y43" s="86">
        <f t="shared" si="23"/>
        <v>0</v>
      </c>
      <c r="Z43" s="86">
        <f t="shared" si="23"/>
        <v>0</v>
      </c>
      <c r="AA43" s="227"/>
    </row>
    <row r="44" spans="2:27" x14ac:dyDescent="0.2">
      <c r="B44" s="252">
        <v>5</v>
      </c>
      <c r="C44" s="297" t="str">
        <f>IF(AND(NOT(COUNTA(D44:I44)),(NOT(COUNTA(L44:O44))),(NOT(COUNTA(R44:Z44)))),"",VLOOKUP($D$7,Info_County_Code,2,FALSE))</f>
        <v/>
      </c>
      <c r="D44" s="263"/>
      <c r="E44" s="298"/>
      <c r="F44" s="298"/>
      <c r="G44" s="298"/>
      <c r="H44" s="242"/>
      <c r="I44" s="242"/>
      <c r="J44" s="246" t="str">
        <f>IF(NOT(ISBLANK(D44)),$J$28,"")</f>
        <v/>
      </c>
      <c r="K44" s="240">
        <f t="shared" si="6"/>
        <v>0</v>
      </c>
      <c r="L44" s="248"/>
      <c r="M44" s="242"/>
      <c r="N44" s="242"/>
      <c r="O44" s="243"/>
      <c r="P44" s="244">
        <f t="shared" si="8"/>
        <v>0</v>
      </c>
      <c r="Q44" s="242"/>
      <c r="R44" s="242"/>
      <c r="S44" s="242"/>
      <c r="T44" s="242"/>
      <c r="U44" s="242"/>
      <c r="V44" s="242"/>
      <c r="W44" s="242"/>
      <c r="X44" s="242"/>
      <c r="Y44" s="242"/>
      <c r="Z44" s="242"/>
      <c r="AA44" s="227"/>
    </row>
    <row r="45" spans="2:27" x14ac:dyDescent="0.2">
      <c r="B45" s="252">
        <v>5</v>
      </c>
      <c r="C45" s="299" t="str">
        <f t="shared" ref="C45:I45" si="24">IF(ISBLANK(C44),"",C44)</f>
        <v/>
      </c>
      <c r="D45" s="300" t="str">
        <f t="shared" si="24"/>
        <v/>
      </c>
      <c r="E45" s="301" t="str">
        <f t="shared" si="24"/>
        <v/>
      </c>
      <c r="F45" s="301" t="str">
        <f t="shared" si="24"/>
        <v/>
      </c>
      <c r="G45" s="301" t="str">
        <f t="shared" si="24"/>
        <v/>
      </c>
      <c r="H45" s="250" t="str">
        <f t="shared" si="24"/>
        <v/>
      </c>
      <c r="I45" s="250" t="str">
        <f t="shared" si="24"/>
        <v/>
      </c>
      <c r="J45" s="247" t="str">
        <f>IF(NOT(ISBLANK(D44)),$J$29,"")</f>
        <v/>
      </c>
      <c r="K45" s="240">
        <f t="shared" si="6"/>
        <v>0</v>
      </c>
      <c r="L45" s="248"/>
      <c r="M45" s="242"/>
      <c r="N45" s="242"/>
      <c r="O45" s="243"/>
      <c r="P45" s="244">
        <f t="shared" si="8"/>
        <v>0</v>
      </c>
      <c r="Q45" s="242"/>
      <c r="R45" s="242"/>
      <c r="S45" s="242"/>
      <c r="T45" s="242"/>
      <c r="U45" s="242"/>
      <c r="V45" s="242"/>
      <c r="W45" s="242"/>
      <c r="X45" s="242"/>
      <c r="Y45" s="242"/>
      <c r="Z45" s="242"/>
      <c r="AA45" s="227"/>
    </row>
    <row r="46" spans="2:27" x14ac:dyDescent="0.2">
      <c r="B46" s="252">
        <v>5</v>
      </c>
      <c r="C46" s="299" t="str">
        <f t="shared" ref="C46:I46" si="25">IF(ISBLANK(C44),"",C44)</f>
        <v/>
      </c>
      <c r="D46" s="302" t="str">
        <f t="shared" si="25"/>
        <v/>
      </c>
      <c r="E46" s="303" t="str">
        <f t="shared" si="25"/>
        <v/>
      </c>
      <c r="F46" s="303" t="str">
        <f t="shared" si="25"/>
        <v/>
      </c>
      <c r="G46" s="303" t="str">
        <f t="shared" si="25"/>
        <v/>
      </c>
      <c r="H46" s="247" t="str">
        <f t="shared" si="25"/>
        <v/>
      </c>
      <c r="I46" s="247" t="str">
        <f t="shared" si="25"/>
        <v/>
      </c>
      <c r="J46" s="247" t="str">
        <f>IF(NOT(ISBLANK(D44)),$J$30,"")</f>
        <v/>
      </c>
      <c r="K46" s="240">
        <f t="shared" si="6"/>
        <v>0</v>
      </c>
      <c r="L46" s="248"/>
      <c r="M46" s="242"/>
      <c r="N46" s="242"/>
      <c r="O46" s="243"/>
      <c r="P46" s="244">
        <f t="shared" si="8"/>
        <v>0</v>
      </c>
      <c r="Q46" s="242"/>
      <c r="R46" s="242"/>
      <c r="S46" s="242"/>
      <c r="T46" s="242"/>
      <c r="U46" s="242"/>
      <c r="V46" s="242"/>
      <c r="W46" s="242"/>
      <c r="X46" s="242"/>
      <c r="Y46" s="242"/>
      <c r="Z46" s="242"/>
      <c r="AA46" s="227"/>
    </row>
    <row r="47" spans="2:27" ht="15.75" x14ac:dyDescent="0.25">
      <c r="B47" s="210">
        <v>5</v>
      </c>
      <c r="C47" s="70" t="str">
        <f t="shared" ref="C47:I47" si="26">IF(ISBLANK(C44),"",C44)</f>
        <v/>
      </c>
      <c r="D47" s="83" t="str">
        <f t="shared" si="26"/>
        <v/>
      </c>
      <c r="E47" s="84" t="str">
        <f t="shared" si="26"/>
        <v/>
      </c>
      <c r="F47" s="84" t="str">
        <f t="shared" si="26"/>
        <v/>
      </c>
      <c r="G47" s="84" t="str">
        <f t="shared" si="26"/>
        <v/>
      </c>
      <c r="H47" s="85" t="str">
        <f t="shared" si="26"/>
        <v/>
      </c>
      <c r="I47" s="85" t="str">
        <f t="shared" si="26"/>
        <v/>
      </c>
      <c r="J47" s="53" t="str">
        <f>IF(NOT(ISBLANK(D44)),$J$31,"")</f>
        <v/>
      </c>
      <c r="K47" s="111">
        <f t="shared" si="6"/>
        <v>0</v>
      </c>
      <c r="L47" s="131">
        <f>SUM(L44:L46)</f>
        <v>0</v>
      </c>
      <c r="M47" s="86">
        <f>SUM(M44:M46)</f>
        <v>0</v>
      </c>
      <c r="N47" s="86">
        <f>SUM(N44:N46)</f>
        <v>0</v>
      </c>
      <c r="O47" s="135">
        <f>SUM(O44:O46)</f>
        <v>0</v>
      </c>
      <c r="P47" s="109">
        <f t="shared" si="8"/>
        <v>0</v>
      </c>
      <c r="Q47" s="86">
        <f t="shared" ref="Q47:Z47" si="27">SUM(Q44:Q46)</f>
        <v>0</v>
      </c>
      <c r="R47" s="86">
        <f t="shared" si="27"/>
        <v>0</v>
      </c>
      <c r="S47" s="86">
        <f t="shared" si="27"/>
        <v>0</v>
      </c>
      <c r="T47" s="86">
        <f t="shared" si="27"/>
        <v>0</v>
      </c>
      <c r="U47" s="86">
        <f t="shared" si="27"/>
        <v>0</v>
      </c>
      <c r="V47" s="86">
        <f t="shared" si="27"/>
        <v>0</v>
      </c>
      <c r="W47" s="86">
        <f t="shared" si="27"/>
        <v>0</v>
      </c>
      <c r="X47" s="86">
        <f t="shared" si="27"/>
        <v>0</v>
      </c>
      <c r="Y47" s="86">
        <f t="shared" si="27"/>
        <v>0</v>
      </c>
      <c r="Z47" s="86">
        <f t="shared" si="27"/>
        <v>0</v>
      </c>
      <c r="AA47" s="227"/>
    </row>
    <row r="48" spans="2:27" x14ac:dyDescent="0.2">
      <c r="B48" s="252">
        <v>6</v>
      </c>
      <c r="C48" s="297" t="str">
        <f>IF(AND(NOT(COUNTA(D48:I48)),(NOT(COUNTA(L48:O48))),(NOT(COUNTA(R48:Z48)))),"",VLOOKUP($D$7,Info_County_Code,2,FALSE))</f>
        <v/>
      </c>
      <c r="D48" s="263"/>
      <c r="E48" s="298"/>
      <c r="F48" s="298"/>
      <c r="G48" s="298"/>
      <c r="H48" s="242"/>
      <c r="I48" s="242"/>
      <c r="J48" s="246" t="str">
        <f>IF(NOT(ISBLANK(D48)),$J$28,"")</f>
        <v/>
      </c>
      <c r="K48" s="240">
        <f t="shared" si="6"/>
        <v>0</v>
      </c>
      <c r="L48" s="248"/>
      <c r="M48" s="242"/>
      <c r="N48" s="242"/>
      <c r="O48" s="243"/>
      <c r="P48" s="244">
        <f t="shared" si="8"/>
        <v>0</v>
      </c>
      <c r="Q48" s="242"/>
      <c r="R48" s="242"/>
      <c r="S48" s="242"/>
      <c r="T48" s="242"/>
      <c r="U48" s="242"/>
      <c r="V48" s="242"/>
      <c r="W48" s="242"/>
      <c r="X48" s="242"/>
      <c r="Y48" s="242"/>
      <c r="Z48" s="242"/>
      <c r="AA48" s="227"/>
    </row>
    <row r="49" spans="2:27" x14ac:dyDescent="0.2">
      <c r="B49" s="252">
        <v>6</v>
      </c>
      <c r="C49" s="299" t="str">
        <f t="shared" ref="C49:I49" si="28">IF(ISBLANK(C48),"",C48)</f>
        <v/>
      </c>
      <c r="D49" s="300" t="str">
        <f t="shared" si="28"/>
        <v/>
      </c>
      <c r="E49" s="301" t="str">
        <f t="shared" si="28"/>
        <v/>
      </c>
      <c r="F49" s="301" t="str">
        <f t="shared" si="28"/>
        <v/>
      </c>
      <c r="G49" s="301" t="str">
        <f t="shared" si="28"/>
        <v/>
      </c>
      <c r="H49" s="250" t="str">
        <f t="shared" si="28"/>
        <v/>
      </c>
      <c r="I49" s="250" t="str">
        <f t="shared" si="28"/>
        <v/>
      </c>
      <c r="J49" s="247" t="str">
        <f>IF(NOT(ISBLANK(D48)),$J$29,"")</f>
        <v/>
      </c>
      <c r="K49" s="240">
        <f t="shared" si="6"/>
        <v>0</v>
      </c>
      <c r="L49" s="248"/>
      <c r="M49" s="242"/>
      <c r="N49" s="242"/>
      <c r="O49" s="243"/>
      <c r="P49" s="244">
        <f t="shared" si="8"/>
        <v>0</v>
      </c>
      <c r="Q49" s="242"/>
      <c r="R49" s="242"/>
      <c r="S49" s="242"/>
      <c r="T49" s="242"/>
      <c r="U49" s="242"/>
      <c r="V49" s="242"/>
      <c r="W49" s="242"/>
      <c r="X49" s="242"/>
      <c r="Y49" s="242"/>
      <c r="Z49" s="242"/>
      <c r="AA49" s="227"/>
    </row>
    <row r="50" spans="2:27" x14ac:dyDescent="0.2">
      <c r="B50" s="252">
        <v>6</v>
      </c>
      <c r="C50" s="299" t="str">
        <f t="shared" ref="C50:I50" si="29">IF(ISBLANK(C48),"",C48)</f>
        <v/>
      </c>
      <c r="D50" s="302" t="str">
        <f t="shared" si="29"/>
        <v/>
      </c>
      <c r="E50" s="303" t="str">
        <f t="shared" si="29"/>
        <v/>
      </c>
      <c r="F50" s="303" t="str">
        <f t="shared" si="29"/>
        <v/>
      </c>
      <c r="G50" s="303" t="str">
        <f t="shared" si="29"/>
        <v/>
      </c>
      <c r="H50" s="247" t="str">
        <f t="shared" si="29"/>
        <v/>
      </c>
      <c r="I50" s="247" t="str">
        <f t="shared" si="29"/>
        <v/>
      </c>
      <c r="J50" s="247" t="str">
        <f>IF(NOT(ISBLANK(D48)),$J$30,"")</f>
        <v/>
      </c>
      <c r="K50" s="240">
        <f t="shared" si="6"/>
        <v>0</v>
      </c>
      <c r="L50" s="248"/>
      <c r="M50" s="242"/>
      <c r="N50" s="242"/>
      <c r="O50" s="243"/>
      <c r="P50" s="244">
        <f t="shared" si="8"/>
        <v>0</v>
      </c>
      <c r="Q50" s="242"/>
      <c r="R50" s="242"/>
      <c r="S50" s="242"/>
      <c r="T50" s="242"/>
      <c r="U50" s="242"/>
      <c r="V50" s="242"/>
      <c r="W50" s="242"/>
      <c r="X50" s="242"/>
      <c r="Y50" s="242"/>
      <c r="Z50" s="242"/>
      <c r="AA50" s="227"/>
    </row>
    <row r="51" spans="2:27" ht="15.75" x14ac:dyDescent="0.25">
      <c r="B51" s="210">
        <v>6</v>
      </c>
      <c r="C51" s="70" t="str">
        <f t="shared" ref="C51:I51" si="30">IF(ISBLANK(C48),"",C48)</f>
        <v/>
      </c>
      <c r="D51" s="83" t="str">
        <f t="shared" si="30"/>
        <v/>
      </c>
      <c r="E51" s="84" t="str">
        <f t="shared" si="30"/>
        <v/>
      </c>
      <c r="F51" s="84" t="str">
        <f t="shared" si="30"/>
        <v/>
      </c>
      <c r="G51" s="84" t="str">
        <f t="shared" si="30"/>
        <v/>
      </c>
      <c r="H51" s="85" t="str">
        <f t="shared" si="30"/>
        <v/>
      </c>
      <c r="I51" s="85" t="str">
        <f t="shared" si="30"/>
        <v/>
      </c>
      <c r="J51" s="53" t="str">
        <f>IF(NOT(ISBLANK(D48)),$J$31,"")</f>
        <v/>
      </c>
      <c r="K51" s="111">
        <f t="shared" si="6"/>
        <v>0</v>
      </c>
      <c r="L51" s="131">
        <f>SUM(L48:L50)</f>
        <v>0</v>
      </c>
      <c r="M51" s="86">
        <f>SUM(M48:M50)</f>
        <v>0</v>
      </c>
      <c r="N51" s="86">
        <f>SUM(N48:N50)</f>
        <v>0</v>
      </c>
      <c r="O51" s="135">
        <f>SUM(O48:O50)</f>
        <v>0</v>
      </c>
      <c r="P51" s="109">
        <f t="shared" si="8"/>
        <v>0</v>
      </c>
      <c r="Q51" s="86">
        <f t="shared" ref="Q51:Z51" si="31">SUM(Q48:Q50)</f>
        <v>0</v>
      </c>
      <c r="R51" s="86">
        <f t="shared" si="31"/>
        <v>0</v>
      </c>
      <c r="S51" s="86">
        <f t="shared" si="31"/>
        <v>0</v>
      </c>
      <c r="T51" s="86">
        <f t="shared" si="31"/>
        <v>0</v>
      </c>
      <c r="U51" s="86">
        <f t="shared" si="31"/>
        <v>0</v>
      </c>
      <c r="V51" s="86">
        <f t="shared" si="31"/>
        <v>0</v>
      </c>
      <c r="W51" s="86">
        <f t="shared" si="31"/>
        <v>0</v>
      </c>
      <c r="X51" s="86">
        <f t="shared" si="31"/>
        <v>0</v>
      </c>
      <c r="Y51" s="86">
        <f t="shared" si="31"/>
        <v>0</v>
      </c>
      <c r="Z51" s="86">
        <f t="shared" si="31"/>
        <v>0</v>
      </c>
      <c r="AA51" s="227"/>
    </row>
    <row r="52" spans="2:27" x14ac:dyDescent="0.2">
      <c r="B52" s="252">
        <v>7</v>
      </c>
      <c r="C52" s="297" t="str">
        <f>IF(AND(NOT(COUNTA(D52:I52)),(NOT(COUNTA(L52:O52))),(NOT(COUNTA(R52:Z52)))),"",VLOOKUP($D$7,Info_County_Code,2,FALSE))</f>
        <v/>
      </c>
      <c r="D52" s="263"/>
      <c r="E52" s="298"/>
      <c r="F52" s="298"/>
      <c r="G52" s="298"/>
      <c r="H52" s="242"/>
      <c r="I52" s="242"/>
      <c r="J52" s="246" t="str">
        <f>IF(NOT(ISBLANK(D52)),$J$28,"")</f>
        <v/>
      </c>
      <c r="K52" s="240">
        <f t="shared" si="6"/>
        <v>0</v>
      </c>
      <c r="L52" s="248"/>
      <c r="M52" s="242"/>
      <c r="N52" s="242"/>
      <c r="O52" s="243"/>
      <c r="P52" s="244">
        <f t="shared" si="8"/>
        <v>0</v>
      </c>
      <c r="Q52" s="242"/>
      <c r="R52" s="242"/>
      <c r="S52" s="242"/>
      <c r="T52" s="242"/>
      <c r="U52" s="242"/>
      <c r="V52" s="242"/>
      <c r="W52" s="242"/>
      <c r="X52" s="242"/>
      <c r="Y52" s="242"/>
      <c r="Z52" s="242"/>
      <c r="AA52" s="227"/>
    </row>
    <row r="53" spans="2:27" x14ac:dyDescent="0.2">
      <c r="B53" s="252">
        <v>7</v>
      </c>
      <c r="C53" s="299" t="str">
        <f t="shared" ref="C53:I53" si="32">IF(ISBLANK(C52),"",C52)</f>
        <v/>
      </c>
      <c r="D53" s="300" t="str">
        <f t="shared" si="32"/>
        <v/>
      </c>
      <c r="E53" s="301" t="str">
        <f t="shared" si="32"/>
        <v/>
      </c>
      <c r="F53" s="301" t="str">
        <f t="shared" si="32"/>
        <v/>
      </c>
      <c r="G53" s="301" t="str">
        <f t="shared" si="32"/>
        <v/>
      </c>
      <c r="H53" s="250" t="str">
        <f t="shared" si="32"/>
        <v/>
      </c>
      <c r="I53" s="250" t="str">
        <f t="shared" si="32"/>
        <v/>
      </c>
      <c r="J53" s="247" t="str">
        <f>IF(NOT(ISBLANK(D52)),$J$29,"")</f>
        <v/>
      </c>
      <c r="K53" s="240">
        <f t="shared" si="6"/>
        <v>0</v>
      </c>
      <c r="L53" s="248"/>
      <c r="M53" s="242"/>
      <c r="N53" s="242"/>
      <c r="O53" s="243"/>
      <c r="P53" s="244">
        <f t="shared" si="8"/>
        <v>0</v>
      </c>
      <c r="Q53" s="242"/>
      <c r="R53" s="242"/>
      <c r="S53" s="242"/>
      <c r="T53" s="242"/>
      <c r="U53" s="242"/>
      <c r="V53" s="242"/>
      <c r="W53" s="242"/>
      <c r="X53" s="242"/>
      <c r="Y53" s="242"/>
      <c r="Z53" s="242"/>
      <c r="AA53" s="227"/>
    </row>
    <row r="54" spans="2:27" x14ac:dyDescent="0.2">
      <c r="B54" s="252">
        <v>7</v>
      </c>
      <c r="C54" s="299" t="str">
        <f t="shared" ref="C54:I54" si="33">IF(ISBLANK(C52),"",C52)</f>
        <v/>
      </c>
      <c r="D54" s="302" t="str">
        <f t="shared" si="33"/>
        <v/>
      </c>
      <c r="E54" s="303" t="str">
        <f t="shared" si="33"/>
        <v/>
      </c>
      <c r="F54" s="303" t="str">
        <f t="shared" si="33"/>
        <v/>
      </c>
      <c r="G54" s="303" t="str">
        <f t="shared" si="33"/>
        <v/>
      </c>
      <c r="H54" s="247" t="str">
        <f t="shared" si="33"/>
        <v/>
      </c>
      <c r="I54" s="247" t="str">
        <f t="shared" si="33"/>
        <v/>
      </c>
      <c r="J54" s="247" t="str">
        <f>IF(NOT(ISBLANK(D52)),$J$30,"")</f>
        <v/>
      </c>
      <c r="K54" s="240">
        <f t="shared" si="6"/>
        <v>0</v>
      </c>
      <c r="L54" s="248"/>
      <c r="M54" s="242"/>
      <c r="N54" s="242"/>
      <c r="O54" s="243"/>
      <c r="P54" s="244">
        <f t="shared" si="8"/>
        <v>0</v>
      </c>
      <c r="Q54" s="242"/>
      <c r="R54" s="242"/>
      <c r="S54" s="242"/>
      <c r="T54" s="242"/>
      <c r="U54" s="242"/>
      <c r="V54" s="242"/>
      <c r="W54" s="242"/>
      <c r="X54" s="242"/>
      <c r="Y54" s="242"/>
      <c r="Z54" s="242"/>
      <c r="AA54" s="227"/>
    </row>
    <row r="55" spans="2:27" ht="15.75" x14ac:dyDescent="0.25">
      <c r="B55" s="210">
        <v>7</v>
      </c>
      <c r="C55" s="70" t="str">
        <f t="shared" ref="C55:I55" si="34">IF(ISBLANK(C52),"",C52)</f>
        <v/>
      </c>
      <c r="D55" s="83" t="str">
        <f t="shared" si="34"/>
        <v/>
      </c>
      <c r="E55" s="84" t="str">
        <f t="shared" si="34"/>
        <v/>
      </c>
      <c r="F55" s="84" t="str">
        <f t="shared" si="34"/>
        <v/>
      </c>
      <c r="G55" s="84" t="str">
        <f t="shared" si="34"/>
        <v/>
      </c>
      <c r="H55" s="85" t="str">
        <f t="shared" si="34"/>
        <v/>
      </c>
      <c r="I55" s="85" t="str">
        <f t="shared" si="34"/>
        <v/>
      </c>
      <c r="J55" s="53" t="str">
        <f>IF(NOT(ISBLANK(D52)),$J$31,"")</f>
        <v/>
      </c>
      <c r="K55" s="111">
        <f t="shared" si="6"/>
        <v>0</v>
      </c>
      <c r="L55" s="131">
        <f>SUM(L52:L54)</f>
        <v>0</v>
      </c>
      <c r="M55" s="86">
        <f>SUM(M52:M54)</f>
        <v>0</v>
      </c>
      <c r="N55" s="86">
        <f>SUM(N52:N54)</f>
        <v>0</v>
      </c>
      <c r="O55" s="135">
        <f>SUM(O52:O54)</f>
        <v>0</v>
      </c>
      <c r="P55" s="109">
        <f t="shared" si="8"/>
        <v>0</v>
      </c>
      <c r="Q55" s="86">
        <f t="shared" ref="Q55:Z55" si="35">SUM(Q52:Q54)</f>
        <v>0</v>
      </c>
      <c r="R55" s="86">
        <f t="shared" si="35"/>
        <v>0</v>
      </c>
      <c r="S55" s="86">
        <f t="shared" si="35"/>
        <v>0</v>
      </c>
      <c r="T55" s="86">
        <f t="shared" si="35"/>
        <v>0</v>
      </c>
      <c r="U55" s="86">
        <f t="shared" si="35"/>
        <v>0</v>
      </c>
      <c r="V55" s="86">
        <f t="shared" si="35"/>
        <v>0</v>
      </c>
      <c r="W55" s="86">
        <f t="shared" si="35"/>
        <v>0</v>
      </c>
      <c r="X55" s="86">
        <f t="shared" si="35"/>
        <v>0</v>
      </c>
      <c r="Y55" s="86">
        <f t="shared" si="35"/>
        <v>0</v>
      </c>
      <c r="Z55" s="86">
        <f t="shared" si="35"/>
        <v>0</v>
      </c>
      <c r="AA55" s="227"/>
    </row>
    <row r="56" spans="2:27" x14ac:dyDescent="0.2">
      <c r="B56" s="252">
        <v>8</v>
      </c>
      <c r="C56" s="297" t="str">
        <f>IF(AND(NOT(COUNTA(D56:I56)),(NOT(COUNTA(L56:O56))),(NOT(COUNTA(R56:Z56)))),"",VLOOKUP($D$7,Info_County_Code,2,FALSE))</f>
        <v/>
      </c>
      <c r="D56" s="263"/>
      <c r="E56" s="298"/>
      <c r="F56" s="298"/>
      <c r="G56" s="298"/>
      <c r="H56" s="242"/>
      <c r="I56" s="242"/>
      <c r="J56" s="246" t="str">
        <f>IF(NOT(ISBLANK(D56)),$J$28,"")</f>
        <v/>
      </c>
      <c r="K56" s="240">
        <f t="shared" si="6"/>
        <v>0</v>
      </c>
      <c r="L56" s="248"/>
      <c r="M56" s="242"/>
      <c r="N56" s="242"/>
      <c r="O56" s="243"/>
      <c r="P56" s="244">
        <f t="shared" si="8"/>
        <v>0</v>
      </c>
      <c r="Q56" s="242"/>
      <c r="R56" s="242"/>
      <c r="S56" s="242"/>
      <c r="T56" s="242"/>
      <c r="U56" s="242"/>
      <c r="V56" s="242"/>
      <c r="W56" s="242"/>
      <c r="X56" s="242"/>
      <c r="Y56" s="242"/>
      <c r="Z56" s="242"/>
      <c r="AA56" s="227"/>
    </row>
    <row r="57" spans="2:27" x14ac:dyDescent="0.2">
      <c r="B57" s="252">
        <v>8</v>
      </c>
      <c r="C57" s="299" t="str">
        <f t="shared" ref="C57:I57" si="36">IF(ISBLANK(C56),"",C56)</f>
        <v/>
      </c>
      <c r="D57" s="300" t="str">
        <f t="shared" si="36"/>
        <v/>
      </c>
      <c r="E57" s="301" t="str">
        <f t="shared" si="36"/>
        <v/>
      </c>
      <c r="F57" s="301" t="str">
        <f t="shared" si="36"/>
        <v/>
      </c>
      <c r="G57" s="301" t="str">
        <f t="shared" si="36"/>
        <v/>
      </c>
      <c r="H57" s="250" t="str">
        <f t="shared" si="36"/>
        <v/>
      </c>
      <c r="I57" s="250" t="str">
        <f t="shared" si="36"/>
        <v/>
      </c>
      <c r="J57" s="247" t="str">
        <f>IF(NOT(ISBLANK(D56)),$J$29,"")</f>
        <v/>
      </c>
      <c r="K57" s="240">
        <f t="shared" si="6"/>
        <v>0</v>
      </c>
      <c r="L57" s="248"/>
      <c r="M57" s="242"/>
      <c r="N57" s="242"/>
      <c r="O57" s="243"/>
      <c r="P57" s="244">
        <f t="shared" si="8"/>
        <v>0</v>
      </c>
      <c r="Q57" s="242"/>
      <c r="R57" s="242"/>
      <c r="S57" s="242"/>
      <c r="T57" s="242"/>
      <c r="U57" s="242"/>
      <c r="V57" s="242"/>
      <c r="W57" s="242"/>
      <c r="X57" s="242"/>
      <c r="Y57" s="242"/>
      <c r="Z57" s="242"/>
      <c r="AA57" s="227"/>
    </row>
    <row r="58" spans="2:27" x14ac:dyDescent="0.2">
      <c r="B58" s="252">
        <v>8</v>
      </c>
      <c r="C58" s="299" t="str">
        <f t="shared" ref="C58:I58" si="37">IF(ISBLANK(C56),"",C56)</f>
        <v/>
      </c>
      <c r="D58" s="302" t="str">
        <f t="shared" si="37"/>
        <v/>
      </c>
      <c r="E58" s="303" t="str">
        <f t="shared" si="37"/>
        <v/>
      </c>
      <c r="F58" s="303" t="str">
        <f t="shared" si="37"/>
        <v/>
      </c>
      <c r="G58" s="303" t="str">
        <f t="shared" si="37"/>
        <v/>
      </c>
      <c r="H58" s="247" t="str">
        <f t="shared" si="37"/>
        <v/>
      </c>
      <c r="I58" s="247" t="str">
        <f t="shared" si="37"/>
        <v/>
      </c>
      <c r="J58" s="247" t="str">
        <f>IF(NOT(ISBLANK(D56)),$J$30,"")</f>
        <v/>
      </c>
      <c r="K58" s="240">
        <f t="shared" si="6"/>
        <v>0</v>
      </c>
      <c r="L58" s="248"/>
      <c r="M58" s="242"/>
      <c r="N58" s="242"/>
      <c r="O58" s="243"/>
      <c r="P58" s="244">
        <f t="shared" si="8"/>
        <v>0</v>
      </c>
      <c r="Q58" s="242"/>
      <c r="R58" s="242"/>
      <c r="S58" s="242"/>
      <c r="T58" s="242"/>
      <c r="U58" s="242"/>
      <c r="V58" s="242"/>
      <c r="W58" s="242"/>
      <c r="X58" s="242"/>
      <c r="Y58" s="242"/>
      <c r="Z58" s="242"/>
      <c r="AA58" s="227"/>
    </row>
    <row r="59" spans="2:27" ht="15.75" x14ac:dyDescent="0.25">
      <c r="B59" s="210">
        <v>8</v>
      </c>
      <c r="C59" s="70" t="str">
        <f t="shared" ref="C59:I59" si="38">IF(ISBLANK(C56),"",C56)</f>
        <v/>
      </c>
      <c r="D59" s="83" t="str">
        <f t="shared" si="38"/>
        <v/>
      </c>
      <c r="E59" s="84" t="str">
        <f t="shared" si="38"/>
        <v/>
      </c>
      <c r="F59" s="84" t="str">
        <f t="shared" si="38"/>
        <v/>
      </c>
      <c r="G59" s="84" t="str">
        <f t="shared" si="38"/>
        <v/>
      </c>
      <c r="H59" s="85" t="str">
        <f t="shared" si="38"/>
        <v/>
      </c>
      <c r="I59" s="85" t="str">
        <f t="shared" si="38"/>
        <v/>
      </c>
      <c r="J59" s="53" t="str">
        <f>IF(NOT(ISBLANK(D56)),$J$31,"")</f>
        <v/>
      </c>
      <c r="K59" s="111">
        <f t="shared" si="6"/>
        <v>0</v>
      </c>
      <c r="L59" s="131">
        <f>SUM(L56:L58)</f>
        <v>0</v>
      </c>
      <c r="M59" s="86">
        <f>SUM(M56:M58)</f>
        <v>0</v>
      </c>
      <c r="N59" s="86">
        <f>SUM(N56:N58)</f>
        <v>0</v>
      </c>
      <c r="O59" s="135">
        <f>SUM(O56:O58)</f>
        <v>0</v>
      </c>
      <c r="P59" s="109">
        <f t="shared" si="8"/>
        <v>0</v>
      </c>
      <c r="Q59" s="86">
        <f t="shared" ref="Q59:Z59" si="39">SUM(Q56:Q58)</f>
        <v>0</v>
      </c>
      <c r="R59" s="86">
        <f t="shared" si="39"/>
        <v>0</v>
      </c>
      <c r="S59" s="86">
        <f t="shared" si="39"/>
        <v>0</v>
      </c>
      <c r="T59" s="86">
        <f t="shared" si="39"/>
        <v>0</v>
      </c>
      <c r="U59" s="86">
        <f t="shared" si="39"/>
        <v>0</v>
      </c>
      <c r="V59" s="86">
        <f t="shared" si="39"/>
        <v>0</v>
      </c>
      <c r="W59" s="86">
        <f t="shared" si="39"/>
        <v>0</v>
      </c>
      <c r="X59" s="86">
        <f t="shared" si="39"/>
        <v>0</v>
      </c>
      <c r="Y59" s="86">
        <f t="shared" si="39"/>
        <v>0</v>
      </c>
      <c r="Z59" s="86">
        <f t="shared" si="39"/>
        <v>0</v>
      </c>
      <c r="AA59" s="227"/>
    </row>
    <row r="60" spans="2:27" x14ac:dyDescent="0.2">
      <c r="B60" s="252">
        <v>9</v>
      </c>
      <c r="C60" s="297" t="str">
        <f>IF(AND(NOT(COUNTA(D60:I60)),(NOT(COUNTA(L60:O60))),(NOT(COUNTA(R60:Z60)))),"",VLOOKUP($D$7,Info_County_Code,2,FALSE))</f>
        <v/>
      </c>
      <c r="D60" s="263"/>
      <c r="E60" s="298"/>
      <c r="F60" s="298"/>
      <c r="G60" s="298"/>
      <c r="H60" s="242"/>
      <c r="I60" s="242"/>
      <c r="J60" s="246" t="str">
        <f>IF(NOT(ISBLANK(D60)),$J$28,"")</f>
        <v/>
      </c>
      <c r="K60" s="240">
        <f t="shared" si="6"/>
        <v>0</v>
      </c>
      <c r="L60" s="248"/>
      <c r="M60" s="242"/>
      <c r="N60" s="242"/>
      <c r="O60" s="243"/>
      <c r="P60" s="244">
        <f t="shared" si="8"/>
        <v>0</v>
      </c>
      <c r="Q60" s="242"/>
      <c r="R60" s="242"/>
      <c r="S60" s="242"/>
      <c r="T60" s="242"/>
      <c r="U60" s="242"/>
      <c r="V60" s="242"/>
      <c r="W60" s="242"/>
      <c r="X60" s="242"/>
      <c r="Y60" s="242"/>
      <c r="Z60" s="242"/>
      <c r="AA60" s="227"/>
    </row>
    <row r="61" spans="2:27" x14ac:dyDescent="0.2">
      <c r="B61" s="252">
        <v>9</v>
      </c>
      <c r="C61" s="299" t="str">
        <f t="shared" ref="C61:I61" si="40">IF(ISBLANK(C60),"",C60)</f>
        <v/>
      </c>
      <c r="D61" s="300" t="str">
        <f t="shared" si="40"/>
        <v/>
      </c>
      <c r="E61" s="301" t="str">
        <f t="shared" si="40"/>
        <v/>
      </c>
      <c r="F61" s="301" t="str">
        <f t="shared" si="40"/>
        <v/>
      </c>
      <c r="G61" s="301" t="str">
        <f t="shared" si="40"/>
        <v/>
      </c>
      <c r="H61" s="250" t="str">
        <f t="shared" si="40"/>
        <v/>
      </c>
      <c r="I61" s="250" t="str">
        <f t="shared" si="40"/>
        <v/>
      </c>
      <c r="J61" s="247" t="str">
        <f>IF(NOT(ISBLANK(D60)),$J$29,"")</f>
        <v/>
      </c>
      <c r="K61" s="240">
        <f t="shared" si="6"/>
        <v>0</v>
      </c>
      <c r="L61" s="248"/>
      <c r="M61" s="242"/>
      <c r="N61" s="242"/>
      <c r="O61" s="243"/>
      <c r="P61" s="244">
        <f t="shared" si="8"/>
        <v>0</v>
      </c>
      <c r="Q61" s="242"/>
      <c r="R61" s="242"/>
      <c r="S61" s="242"/>
      <c r="T61" s="242"/>
      <c r="U61" s="242"/>
      <c r="V61" s="242"/>
      <c r="W61" s="242"/>
      <c r="X61" s="242"/>
      <c r="Y61" s="242"/>
      <c r="Z61" s="242"/>
      <c r="AA61" s="227"/>
    </row>
    <row r="62" spans="2:27" x14ac:dyDescent="0.2">
      <c r="B62" s="252">
        <v>9</v>
      </c>
      <c r="C62" s="299" t="str">
        <f t="shared" ref="C62:I62" si="41">IF(ISBLANK(C60),"",C60)</f>
        <v/>
      </c>
      <c r="D62" s="302" t="str">
        <f t="shared" si="41"/>
        <v/>
      </c>
      <c r="E62" s="303" t="str">
        <f t="shared" si="41"/>
        <v/>
      </c>
      <c r="F62" s="303" t="str">
        <f t="shared" si="41"/>
        <v/>
      </c>
      <c r="G62" s="303" t="str">
        <f t="shared" si="41"/>
        <v/>
      </c>
      <c r="H62" s="247" t="str">
        <f t="shared" si="41"/>
        <v/>
      </c>
      <c r="I62" s="247" t="str">
        <f t="shared" si="41"/>
        <v/>
      </c>
      <c r="J62" s="247" t="str">
        <f>IF(NOT(ISBLANK(D60)),$J$30,"")</f>
        <v/>
      </c>
      <c r="K62" s="240">
        <f t="shared" si="6"/>
        <v>0</v>
      </c>
      <c r="L62" s="248"/>
      <c r="M62" s="242"/>
      <c r="N62" s="242"/>
      <c r="O62" s="243"/>
      <c r="P62" s="244">
        <f t="shared" si="8"/>
        <v>0</v>
      </c>
      <c r="Q62" s="242"/>
      <c r="R62" s="242"/>
      <c r="S62" s="242"/>
      <c r="T62" s="242"/>
      <c r="U62" s="242"/>
      <c r="V62" s="242"/>
      <c r="W62" s="242"/>
      <c r="X62" s="242"/>
      <c r="Y62" s="242"/>
      <c r="Z62" s="242"/>
      <c r="AA62" s="227"/>
    </row>
    <row r="63" spans="2:27" ht="15.75" x14ac:dyDescent="0.25">
      <c r="B63" s="210">
        <v>9</v>
      </c>
      <c r="C63" s="70" t="str">
        <f t="shared" ref="C63:I63" si="42">IF(ISBLANK(C60),"",C60)</f>
        <v/>
      </c>
      <c r="D63" s="83" t="str">
        <f t="shared" si="42"/>
        <v/>
      </c>
      <c r="E63" s="84" t="str">
        <f t="shared" si="42"/>
        <v/>
      </c>
      <c r="F63" s="84" t="str">
        <f t="shared" si="42"/>
        <v/>
      </c>
      <c r="G63" s="84" t="str">
        <f t="shared" si="42"/>
        <v/>
      </c>
      <c r="H63" s="85" t="str">
        <f t="shared" si="42"/>
        <v/>
      </c>
      <c r="I63" s="85" t="str">
        <f t="shared" si="42"/>
        <v/>
      </c>
      <c r="J63" s="53" t="str">
        <f>IF(NOT(ISBLANK(D60)),$J$31,"")</f>
        <v/>
      </c>
      <c r="K63" s="111">
        <f t="shared" si="6"/>
        <v>0</v>
      </c>
      <c r="L63" s="131">
        <f>SUM(L60:L62)</f>
        <v>0</v>
      </c>
      <c r="M63" s="86">
        <f>SUM(M60:M62)</f>
        <v>0</v>
      </c>
      <c r="N63" s="86">
        <f>SUM(N60:N62)</f>
        <v>0</v>
      </c>
      <c r="O63" s="135">
        <f>SUM(O60:O62)</f>
        <v>0</v>
      </c>
      <c r="P63" s="109">
        <f t="shared" si="8"/>
        <v>0</v>
      </c>
      <c r="Q63" s="86">
        <f t="shared" ref="Q63:Z63" si="43">SUM(Q60:Q62)</f>
        <v>0</v>
      </c>
      <c r="R63" s="86">
        <f t="shared" si="43"/>
        <v>0</v>
      </c>
      <c r="S63" s="86">
        <f t="shared" si="43"/>
        <v>0</v>
      </c>
      <c r="T63" s="86">
        <f t="shared" si="43"/>
        <v>0</v>
      </c>
      <c r="U63" s="86">
        <f t="shared" si="43"/>
        <v>0</v>
      </c>
      <c r="V63" s="86">
        <f t="shared" si="43"/>
        <v>0</v>
      </c>
      <c r="W63" s="86">
        <f t="shared" si="43"/>
        <v>0</v>
      </c>
      <c r="X63" s="86">
        <f t="shared" si="43"/>
        <v>0</v>
      </c>
      <c r="Y63" s="86">
        <f t="shared" si="43"/>
        <v>0</v>
      </c>
      <c r="Z63" s="86">
        <f t="shared" si="43"/>
        <v>0</v>
      </c>
      <c r="AA63" s="227"/>
    </row>
    <row r="64" spans="2:27" x14ac:dyDescent="0.2">
      <c r="B64" s="252">
        <v>10</v>
      </c>
      <c r="C64" s="297" t="str">
        <f>IF(AND(NOT(COUNTA(D64:I64)),(NOT(COUNTA(L64:O64))),(NOT(COUNTA(R64:Z64)))),"",VLOOKUP($D$7,Info_County_Code,2,FALSE))</f>
        <v/>
      </c>
      <c r="D64" s="263"/>
      <c r="E64" s="298"/>
      <c r="F64" s="298"/>
      <c r="G64" s="298"/>
      <c r="H64" s="242"/>
      <c r="I64" s="242"/>
      <c r="J64" s="246" t="str">
        <f>IF(NOT(ISBLANK(D64)),$J$28,"")</f>
        <v/>
      </c>
      <c r="K64" s="240">
        <f t="shared" si="6"/>
        <v>0</v>
      </c>
      <c r="L64" s="248"/>
      <c r="M64" s="242"/>
      <c r="N64" s="242"/>
      <c r="O64" s="243"/>
      <c r="P64" s="244">
        <f t="shared" si="8"/>
        <v>0</v>
      </c>
      <c r="Q64" s="242"/>
      <c r="R64" s="242"/>
      <c r="S64" s="242"/>
      <c r="T64" s="242"/>
      <c r="U64" s="242"/>
      <c r="V64" s="242"/>
      <c r="W64" s="242"/>
      <c r="X64" s="242"/>
      <c r="Y64" s="242"/>
      <c r="Z64" s="242"/>
      <c r="AA64" s="227"/>
    </row>
    <row r="65" spans="2:27" x14ac:dyDescent="0.2">
      <c r="B65" s="252">
        <v>10</v>
      </c>
      <c r="C65" s="299" t="str">
        <f t="shared" ref="C65:I65" si="44">IF(ISBLANK(C64),"",C64)</f>
        <v/>
      </c>
      <c r="D65" s="300" t="str">
        <f t="shared" si="44"/>
        <v/>
      </c>
      <c r="E65" s="301" t="str">
        <f t="shared" si="44"/>
        <v/>
      </c>
      <c r="F65" s="301" t="str">
        <f t="shared" si="44"/>
        <v/>
      </c>
      <c r="G65" s="301" t="str">
        <f t="shared" si="44"/>
        <v/>
      </c>
      <c r="H65" s="250" t="str">
        <f t="shared" si="44"/>
        <v/>
      </c>
      <c r="I65" s="250" t="str">
        <f t="shared" si="44"/>
        <v/>
      </c>
      <c r="J65" s="247" t="str">
        <f>IF(NOT(ISBLANK(D64)),$J$29,"")</f>
        <v/>
      </c>
      <c r="K65" s="240">
        <f t="shared" si="6"/>
        <v>0</v>
      </c>
      <c r="L65" s="248"/>
      <c r="M65" s="242"/>
      <c r="N65" s="242"/>
      <c r="O65" s="243"/>
      <c r="P65" s="244">
        <f t="shared" si="8"/>
        <v>0</v>
      </c>
      <c r="Q65" s="242"/>
      <c r="R65" s="242"/>
      <c r="S65" s="242"/>
      <c r="T65" s="242"/>
      <c r="U65" s="242"/>
      <c r="V65" s="242"/>
      <c r="W65" s="242"/>
      <c r="X65" s="242"/>
      <c r="Y65" s="242"/>
      <c r="Z65" s="242"/>
      <c r="AA65" s="227"/>
    </row>
    <row r="66" spans="2:27" x14ac:dyDescent="0.2">
      <c r="B66" s="252">
        <v>10</v>
      </c>
      <c r="C66" s="299" t="str">
        <f t="shared" ref="C66:I66" si="45">IF(ISBLANK(C64),"",C64)</f>
        <v/>
      </c>
      <c r="D66" s="302" t="str">
        <f t="shared" si="45"/>
        <v/>
      </c>
      <c r="E66" s="303" t="str">
        <f t="shared" si="45"/>
        <v/>
      </c>
      <c r="F66" s="303" t="str">
        <f t="shared" si="45"/>
        <v/>
      </c>
      <c r="G66" s="303" t="str">
        <f t="shared" si="45"/>
        <v/>
      </c>
      <c r="H66" s="247" t="str">
        <f t="shared" si="45"/>
        <v/>
      </c>
      <c r="I66" s="247" t="str">
        <f t="shared" si="45"/>
        <v/>
      </c>
      <c r="J66" s="247" t="str">
        <f>IF(NOT(ISBLANK(D64)),$J$30,"")</f>
        <v/>
      </c>
      <c r="K66" s="240">
        <f t="shared" si="6"/>
        <v>0</v>
      </c>
      <c r="L66" s="248"/>
      <c r="M66" s="242"/>
      <c r="N66" s="242"/>
      <c r="O66" s="243"/>
      <c r="P66" s="244">
        <f t="shared" si="8"/>
        <v>0</v>
      </c>
      <c r="Q66" s="242"/>
      <c r="R66" s="242"/>
      <c r="S66" s="242"/>
      <c r="T66" s="242"/>
      <c r="U66" s="242"/>
      <c r="V66" s="242"/>
      <c r="W66" s="242"/>
      <c r="X66" s="242"/>
      <c r="Y66" s="242"/>
      <c r="Z66" s="242"/>
      <c r="AA66" s="227"/>
    </row>
    <row r="67" spans="2:27" ht="15.75" x14ac:dyDescent="0.25">
      <c r="B67" s="210">
        <v>10</v>
      </c>
      <c r="C67" s="70" t="str">
        <f t="shared" ref="C67:I67" si="46">IF(ISBLANK(C64),"",C64)</f>
        <v/>
      </c>
      <c r="D67" s="83" t="str">
        <f t="shared" si="46"/>
        <v/>
      </c>
      <c r="E67" s="84" t="str">
        <f t="shared" si="46"/>
        <v/>
      </c>
      <c r="F67" s="84" t="str">
        <f t="shared" si="46"/>
        <v/>
      </c>
      <c r="G67" s="84" t="str">
        <f t="shared" si="46"/>
        <v/>
      </c>
      <c r="H67" s="85" t="str">
        <f t="shared" si="46"/>
        <v/>
      </c>
      <c r="I67" s="85" t="str">
        <f t="shared" si="46"/>
        <v/>
      </c>
      <c r="J67" s="53" t="str">
        <f>IF(NOT(ISBLANK(D64)),$J$31,"")</f>
        <v/>
      </c>
      <c r="K67" s="111">
        <f t="shared" si="6"/>
        <v>0</v>
      </c>
      <c r="L67" s="131">
        <f>SUM(L64:L66)</f>
        <v>0</v>
      </c>
      <c r="M67" s="86">
        <f>SUM(M64:M66)</f>
        <v>0</v>
      </c>
      <c r="N67" s="86">
        <f>SUM(N64:N66)</f>
        <v>0</v>
      </c>
      <c r="O67" s="135">
        <f>SUM(O64:O66)</f>
        <v>0</v>
      </c>
      <c r="P67" s="109">
        <f t="shared" si="8"/>
        <v>0</v>
      </c>
      <c r="Q67" s="86">
        <f t="shared" ref="Q67:Z67" si="47">SUM(Q64:Q66)</f>
        <v>0</v>
      </c>
      <c r="R67" s="86">
        <f t="shared" si="47"/>
        <v>0</v>
      </c>
      <c r="S67" s="86">
        <f t="shared" si="47"/>
        <v>0</v>
      </c>
      <c r="T67" s="86">
        <f t="shared" si="47"/>
        <v>0</v>
      </c>
      <c r="U67" s="86">
        <f t="shared" si="47"/>
        <v>0</v>
      </c>
      <c r="V67" s="86">
        <f t="shared" si="47"/>
        <v>0</v>
      </c>
      <c r="W67" s="86">
        <f t="shared" si="47"/>
        <v>0</v>
      </c>
      <c r="X67" s="86">
        <f t="shared" si="47"/>
        <v>0</v>
      </c>
      <c r="Y67" s="86">
        <f t="shared" si="47"/>
        <v>0</v>
      </c>
      <c r="Z67" s="86">
        <f t="shared" si="47"/>
        <v>0</v>
      </c>
      <c r="AA67" s="227"/>
    </row>
    <row r="68" spans="2:27" x14ac:dyDescent="0.2">
      <c r="B68" s="252">
        <v>11</v>
      </c>
      <c r="C68" s="297" t="str">
        <f>IF(AND(NOT(COUNTA(D68:I68)),(NOT(COUNTA(L68:O68))),(NOT(COUNTA(R68:Z68)))),"",VLOOKUP($D$7,Info_County_Code,2,FALSE))</f>
        <v/>
      </c>
      <c r="D68" s="263"/>
      <c r="E68" s="298"/>
      <c r="F68" s="298"/>
      <c r="G68" s="298"/>
      <c r="H68" s="242"/>
      <c r="I68" s="242"/>
      <c r="J68" s="246" t="str">
        <f>IF(NOT(ISBLANK(D68)),$J$28,"")</f>
        <v/>
      </c>
      <c r="K68" s="240">
        <f t="shared" si="6"/>
        <v>0</v>
      </c>
      <c r="L68" s="248"/>
      <c r="M68" s="242"/>
      <c r="N68" s="242"/>
      <c r="O68" s="243"/>
      <c r="P68" s="244">
        <f t="shared" si="8"/>
        <v>0</v>
      </c>
      <c r="Q68" s="242"/>
      <c r="R68" s="242"/>
      <c r="S68" s="242"/>
      <c r="T68" s="242"/>
      <c r="U68" s="242"/>
      <c r="V68" s="242"/>
      <c r="W68" s="242"/>
      <c r="X68" s="242"/>
      <c r="Y68" s="242"/>
      <c r="Z68" s="242"/>
      <c r="AA68" s="227"/>
    </row>
    <row r="69" spans="2:27" x14ac:dyDescent="0.2">
      <c r="B69" s="252">
        <v>11</v>
      </c>
      <c r="C69" s="299" t="str">
        <f t="shared" ref="C69:I69" si="48">IF(ISBLANK(C68),"",C68)</f>
        <v/>
      </c>
      <c r="D69" s="300" t="str">
        <f t="shared" si="48"/>
        <v/>
      </c>
      <c r="E69" s="301" t="str">
        <f t="shared" si="48"/>
        <v/>
      </c>
      <c r="F69" s="301" t="str">
        <f t="shared" si="48"/>
        <v/>
      </c>
      <c r="G69" s="301" t="str">
        <f t="shared" si="48"/>
        <v/>
      </c>
      <c r="H69" s="250" t="str">
        <f t="shared" si="48"/>
        <v/>
      </c>
      <c r="I69" s="250" t="str">
        <f t="shared" si="48"/>
        <v/>
      </c>
      <c r="J69" s="247" t="str">
        <f>IF(NOT(ISBLANK(D68)),$J$29,"")</f>
        <v/>
      </c>
      <c r="K69" s="240">
        <f t="shared" si="6"/>
        <v>0</v>
      </c>
      <c r="L69" s="248"/>
      <c r="M69" s="242"/>
      <c r="N69" s="242"/>
      <c r="O69" s="243"/>
      <c r="P69" s="244">
        <f t="shared" si="8"/>
        <v>0</v>
      </c>
      <c r="Q69" s="242"/>
      <c r="R69" s="242"/>
      <c r="S69" s="242"/>
      <c r="T69" s="242"/>
      <c r="U69" s="242"/>
      <c r="V69" s="242"/>
      <c r="W69" s="242"/>
      <c r="X69" s="242"/>
      <c r="Y69" s="242"/>
      <c r="Z69" s="242"/>
      <c r="AA69" s="227"/>
    </row>
    <row r="70" spans="2:27" x14ac:dyDescent="0.2">
      <c r="B70" s="252">
        <v>11</v>
      </c>
      <c r="C70" s="299" t="str">
        <f t="shared" ref="C70:I70" si="49">IF(ISBLANK(C68),"",C68)</f>
        <v/>
      </c>
      <c r="D70" s="302" t="str">
        <f t="shared" si="49"/>
        <v/>
      </c>
      <c r="E70" s="303" t="str">
        <f t="shared" si="49"/>
        <v/>
      </c>
      <c r="F70" s="303" t="str">
        <f t="shared" si="49"/>
        <v/>
      </c>
      <c r="G70" s="303" t="str">
        <f t="shared" si="49"/>
        <v/>
      </c>
      <c r="H70" s="247" t="str">
        <f t="shared" si="49"/>
        <v/>
      </c>
      <c r="I70" s="247" t="str">
        <f t="shared" si="49"/>
        <v/>
      </c>
      <c r="J70" s="247" t="str">
        <f>IF(NOT(ISBLANK(D68)),$J$30,"")</f>
        <v/>
      </c>
      <c r="K70" s="240">
        <f t="shared" si="6"/>
        <v>0</v>
      </c>
      <c r="L70" s="248"/>
      <c r="M70" s="242"/>
      <c r="N70" s="242"/>
      <c r="O70" s="243"/>
      <c r="P70" s="244">
        <f t="shared" si="8"/>
        <v>0</v>
      </c>
      <c r="Q70" s="242"/>
      <c r="R70" s="242"/>
      <c r="S70" s="242"/>
      <c r="T70" s="242"/>
      <c r="U70" s="242"/>
      <c r="V70" s="242"/>
      <c r="W70" s="242"/>
      <c r="X70" s="242"/>
      <c r="Y70" s="242"/>
      <c r="Z70" s="242"/>
      <c r="AA70" s="227"/>
    </row>
    <row r="71" spans="2:27" ht="15.75" x14ac:dyDescent="0.25">
      <c r="B71" s="210">
        <v>11</v>
      </c>
      <c r="C71" s="70" t="str">
        <f t="shared" ref="C71:I71" si="50">IF(ISBLANK(C68),"",C68)</f>
        <v/>
      </c>
      <c r="D71" s="83" t="str">
        <f t="shared" si="50"/>
        <v/>
      </c>
      <c r="E71" s="84" t="str">
        <f t="shared" si="50"/>
        <v/>
      </c>
      <c r="F71" s="84" t="str">
        <f t="shared" si="50"/>
        <v/>
      </c>
      <c r="G71" s="84" t="str">
        <f t="shared" si="50"/>
        <v/>
      </c>
      <c r="H71" s="85" t="str">
        <f t="shared" si="50"/>
        <v/>
      </c>
      <c r="I71" s="85" t="str">
        <f t="shared" si="50"/>
        <v/>
      </c>
      <c r="J71" s="53" t="str">
        <f>IF(NOT(ISBLANK(D68)),$J$31,"")</f>
        <v/>
      </c>
      <c r="K71" s="111">
        <f t="shared" si="6"/>
        <v>0</v>
      </c>
      <c r="L71" s="131">
        <f>SUM(L68:L70)</f>
        <v>0</v>
      </c>
      <c r="M71" s="86">
        <f>SUM(M68:M70)</f>
        <v>0</v>
      </c>
      <c r="N71" s="86">
        <f>SUM(N68:N70)</f>
        <v>0</v>
      </c>
      <c r="O71" s="135">
        <f>SUM(O68:O70)</f>
        <v>0</v>
      </c>
      <c r="P71" s="109">
        <f t="shared" si="8"/>
        <v>0</v>
      </c>
      <c r="Q71" s="86">
        <f t="shared" ref="Q71:Z71" si="51">SUM(Q68:Q70)</f>
        <v>0</v>
      </c>
      <c r="R71" s="86">
        <f t="shared" si="51"/>
        <v>0</v>
      </c>
      <c r="S71" s="86">
        <f t="shared" si="51"/>
        <v>0</v>
      </c>
      <c r="T71" s="86">
        <f t="shared" si="51"/>
        <v>0</v>
      </c>
      <c r="U71" s="86">
        <f t="shared" si="51"/>
        <v>0</v>
      </c>
      <c r="V71" s="86">
        <f t="shared" si="51"/>
        <v>0</v>
      </c>
      <c r="W71" s="86">
        <f t="shared" si="51"/>
        <v>0</v>
      </c>
      <c r="X71" s="86">
        <f t="shared" si="51"/>
        <v>0</v>
      </c>
      <c r="Y71" s="86">
        <f t="shared" si="51"/>
        <v>0</v>
      </c>
      <c r="Z71" s="86">
        <f t="shared" si="51"/>
        <v>0</v>
      </c>
      <c r="AA71" s="227"/>
    </row>
    <row r="72" spans="2:27" x14ac:dyDescent="0.2">
      <c r="B72" s="252">
        <v>12</v>
      </c>
      <c r="C72" s="297" t="str">
        <f>IF(AND(NOT(COUNTA(D72:I72)),(NOT(COUNTA(L72:O72))),(NOT(COUNTA(R72:Z72)))),"",VLOOKUP($D$7,Info_County_Code,2,FALSE))</f>
        <v/>
      </c>
      <c r="D72" s="263"/>
      <c r="E72" s="298"/>
      <c r="F72" s="298"/>
      <c r="G72" s="298"/>
      <c r="H72" s="242"/>
      <c r="I72" s="242"/>
      <c r="J72" s="246" t="str">
        <f>IF(NOT(ISBLANK(D72)),$J$28,"")</f>
        <v/>
      </c>
      <c r="K72" s="240">
        <f t="shared" si="6"/>
        <v>0</v>
      </c>
      <c r="L72" s="248"/>
      <c r="M72" s="242"/>
      <c r="N72" s="242"/>
      <c r="O72" s="243"/>
      <c r="P72" s="244">
        <f t="shared" si="8"/>
        <v>0</v>
      </c>
      <c r="Q72" s="242"/>
      <c r="R72" s="242"/>
      <c r="S72" s="242"/>
      <c r="T72" s="242"/>
      <c r="U72" s="242"/>
      <c r="V72" s="242"/>
      <c r="W72" s="242"/>
      <c r="X72" s="242"/>
      <c r="Y72" s="242"/>
      <c r="Z72" s="242"/>
      <c r="AA72" s="227"/>
    </row>
    <row r="73" spans="2:27" x14ac:dyDescent="0.2">
      <c r="B73" s="252">
        <v>12</v>
      </c>
      <c r="C73" s="299" t="str">
        <f t="shared" ref="C73:I73" si="52">IF(ISBLANK(C72),"",C72)</f>
        <v/>
      </c>
      <c r="D73" s="300" t="str">
        <f t="shared" si="52"/>
        <v/>
      </c>
      <c r="E73" s="301" t="str">
        <f t="shared" si="52"/>
        <v/>
      </c>
      <c r="F73" s="301" t="str">
        <f t="shared" si="52"/>
        <v/>
      </c>
      <c r="G73" s="301" t="str">
        <f t="shared" si="52"/>
        <v/>
      </c>
      <c r="H73" s="250" t="str">
        <f t="shared" si="52"/>
        <v/>
      </c>
      <c r="I73" s="250" t="str">
        <f t="shared" si="52"/>
        <v/>
      </c>
      <c r="J73" s="247" t="str">
        <f>IF(NOT(ISBLANK(D72)),$J$29,"")</f>
        <v/>
      </c>
      <c r="K73" s="240">
        <f t="shared" si="6"/>
        <v>0</v>
      </c>
      <c r="L73" s="248"/>
      <c r="M73" s="242"/>
      <c r="N73" s="242"/>
      <c r="O73" s="243"/>
      <c r="P73" s="244">
        <f t="shared" si="8"/>
        <v>0</v>
      </c>
      <c r="Q73" s="242"/>
      <c r="R73" s="242"/>
      <c r="S73" s="242"/>
      <c r="T73" s="242"/>
      <c r="U73" s="242"/>
      <c r="V73" s="242"/>
      <c r="W73" s="242"/>
      <c r="X73" s="242"/>
      <c r="Y73" s="242"/>
      <c r="Z73" s="242"/>
      <c r="AA73" s="227"/>
    </row>
    <row r="74" spans="2:27" x14ac:dyDescent="0.2">
      <c r="B74" s="252">
        <v>12</v>
      </c>
      <c r="C74" s="299" t="str">
        <f t="shared" ref="C74:I74" si="53">IF(ISBLANK(C72),"",C72)</f>
        <v/>
      </c>
      <c r="D74" s="302" t="str">
        <f t="shared" si="53"/>
        <v/>
      </c>
      <c r="E74" s="303" t="str">
        <f t="shared" si="53"/>
        <v/>
      </c>
      <c r="F74" s="303" t="str">
        <f t="shared" si="53"/>
        <v/>
      </c>
      <c r="G74" s="303" t="str">
        <f t="shared" si="53"/>
        <v/>
      </c>
      <c r="H74" s="247" t="str">
        <f t="shared" si="53"/>
        <v/>
      </c>
      <c r="I74" s="247" t="str">
        <f t="shared" si="53"/>
        <v/>
      </c>
      <c r="J74" s="247" t="str">
        <f>IF(NOT(ISBLANK(D72)),$J$30,"")</f>
        <v/>
      </c>
      <c r="K74" s="240">
        <f t="shared" si="6"/>
        <v>0</v>
      </c>
      <c r="L74" s="248"/>
      <c r="M74" s="242"/>
      <c r="N74" s="242"/>
      <c r="O74" s="243"/>
      <c r="P74" s="244">
        <f t="shared" si="8"/>
        <v>0</v>
      </c>
      <c r="Q74" s="242"/>
      <c r="R74" s="242"/>
      <c r="S74" s="242"/>
      <c r="T74" s="242"/>
      <c r="U74" s="242"/>
      <c r="V74" s="242"/>
      <c r="W74" s="242"/>
      <c r="X74" s="242"/>
      <c r="Y74" s="242"/>
      <c r="Z74" s="242"/>
      <c r="AA74" s="227"/>
    </row>
    <row r="75" spans="2:27" ht="15.75" x14ac:dyDescent="0.25">
      <c r="B75" s="210">
        <v>12</v>
      </c>
      <c r="C75" s="70" t="str">
        <f t="shared" ref="C75:I75" si="54">IF(ISBLANK(C72),"",C72)</f>
        <v/>
      </c>
      <c r="D75" s="83" t="str">
        <f t="shared" si="54"/>
        <v/>
      </c>
      <c r="E75" s="84" t="str">
        <f t="shared" si="54"/>
        <v/>
      </c>
      <c r="F75" s="84" t="str">
        <f t="shared" si="54"/>
        <v/>
      </c>
      <c r="G75" s="84" t="str">
        <f t="shared" si="54"/>
        <v/>
      </c>
      <c r="H75" s="85" t="str">
        <f t="shared" si="54"/>
        <v/>
      </c>
      <c r="I75" s="85" t="str">
        <f t="shared" si="54"/>
        <v/>
      </c>
      <c r="J75" s="53" t="str">
        <f>IF(NOT(ISBLANK(D72)),$J$31,"")</f>
        <v/>
      </c>
      <c r="K75" s="111">
        <f t="shared" si="6"/>
        <v>0</v>
      </c>
      <c r="L75" s="131">
        <f>SUM(L72:L74)</f>
        <v>0</v>
      </c>
      <c r="M75" s="86">
        <f>SUM(M72:M74)</f>
        <v>0</v>
      </c>
      <c r="N75" s="86">
        <f>SUM(N72:N74)</f>
        <v>0</v>
      </c>
      <c r="O75" s="135">
        <f>SUM(O72:O74)</f>
        <v>0</v>
      </c>
      <c r="P75" s="109">
        <f t="shared" si="8"/>
        <v>0</v>
      </c>
      <c r="Q75" s="86">
        <f t="shared" ref="Q75:Z75" si="55">SUM(Q72:Q74)</f>
        <v>0</v>
      </c>
      <c r="R75" s="86">
        <f t="shared" si="55"/>
        <v>0</v>
      </c>
      <c r="S75" s="86">
        <f t="shared" si="55"/>
        <v>0</v>
      </c>
      <c r="T75" s="86">
        <f t="shared" si="55"/>
        <v>0</v>
      </c>
      <c r="U75" s="86">
        <f t="shared" si="55"/>
        <v>0</v>
      </c>
      <c r="V75" s="86">
        <f t="shared" si="55"/>
        <v>0</v>
      </c>
      <c r="W75" s="86">
        <f t="shared" si="55"/>
        <v>0</v>
      </c>
      <c r="X75" s="86">
        <f t="shared" si="55"/>
        <v>0</v>
      </c>
      <c r="Y75" s="86">
        <f t="shared" si="55"/>
        <v>0</v>
      </c>
      <c r="Z75" s="86">
        <f t="shared" si="55"/>
        <v>0</v>
      </c>
      <c r="AA75" s="227"/>
    </row>
    <row r="76" spans="2:27" x14ac:dyDescent="0.2">
      <c r="B76" s="252">
        <v>13</v>
      </c>
      <c r="C76" s="297" t="str">
        <f>IF(AND(NOT(COUNTA(D76:I76)),(NOT(COUNTA(L76:O76))),(NOT(COUNTA(R76:Z76)))),"",VLOOKUP($D$7,Info_County_Code,2,FALSE))</f>
        <v/>
      </c>
      <c r="D76" s="263"/>
      <c r="E76" s="298"/>
      <c r="F76" s="298"/>
      <c r="G76" s="298"/>
      <c r="H76" s="242"/>
      <c r="I76" s="242"/>
      <c r="J76" s="246" t="str">
        <f>IF(NOT(ISBLANK(D76)),$J$28,"")</f>
        <v/>
      </c>
      <c r="K76" s="240">
        <f t="shared" si="6"/>
        <v>0</v>
      </c>
      <c r="L76" s="248"/>
      <c r="M76" s="242"/>
      <c r="N76" s="242"/>
      <c r="O76" s="243"/>
      <c r="P76" s="244">
        <f t="shared" si="8"/>
        <v>0</v>
      </c>
      <c r="Q76" s="242"/>
      <c r="R76" s="242"/>
      <c r="S76" s="242"/>
      <c r="T76" s="242"/>
      <c r="U76" s="242"/>
      <c r="V76" s="242"/>
      <c r="W76" s="242"/>
      <c r="X76" s="242"/>
      <c r="Y76" s="242"/>
      <c r="Z76" s="242"/>
      <c r="AA76" s="227"/>
    </row>
    <row r="77" spans="2:27" x14ac:dyDescent="0.2">
      <c r="B77" s="252">
        <v>13</v>
      </c>
      <c r="C77" s="299" t="str">
        <f t="shared" ref="C77:I77" si="56">IF(ISBLANK(C76),"",C76)</f>
        <v/>
      </c>
      <c r="D77" s="300" t="str">
        <f t="shared" si="56"/>
        <v/>
      </c>
      <c r="E77" s="301" t="str">
        <f t="shared" si="56"/>
        <v/>
      </c>
      <c r="F77" s="301" t="str">
        <f t="shared" si="56"/>
        <v/>
      </c>
      <c r="G77" s="301" t="str">
        <f t="shared" si="56"/>
        <v/>
      </c>
      <c r="H77" s="250" t="str">
        <f t="shared" si="56"/>
        <v/>
      </c>
      <c r="I77" s="250" t="str">
        <f t="shared" si="56"/>
        <v/>
      </c>
      <c r="J77" s="247" t="str">
        <f>IF(NOT(ISBLANK(D76)),$J$29,"")</f>
        <v/>
      </c>
      <c r="K77" s="240">
        <f t="shared" si="6"/>
        <v>0</v>
      </c>
      <c r="L77" s="248"/>
      <c r="M77" s="242"/>
      <c r="N77" s="242"/>
      <c r="O77" s="243"/>
      <c r="P77" s="244">
        <f t="shared" si="8"/>
        <v>0</v>
      </c>
      <c r="Q77" s="242"/>
      <c r="R77" s="242"/>
      <c r="S77" s="242"/>
      <c r="T77" s="242"/>
      <c r="U77" s="242"/>
      <c r="V77" s="242"/>
      <c r="W77" s="242"/>
      <c r="X77" s="242"/>
      <c r="Y77" s="242"/>
      <c r="Z77" s="242"/>
      <c r="AA77" s="227"/>
    </row>
    <row r="78" spans="2:27" x14ac:dyDescent="0.2">
      <c r="B78" s="252">
        <v>13</v>
      </c>
      <c r="C78" s="299" t="str">
        <f t="shared" ref="C78:I78" si="57">IF(ISBLANK(C76),"",C76)</f>
        <v/>
      </c>
      <c r="D78" s="302" t="str">
        <f t="shared" si="57"/>
        <v/>
      </c>
      <c r="E78" s="303" t="str">
        <f t="shared" si="57"/>
        <v/>
      </c>
      <c r="F78" s="303" t="str">
        <f t="shared" si="57"/>
        <v/>
      </c>
      <c r="G78" s="303" t="str">
        <f t="shared" si="57"/>
        <v/>
      </c>
      <c r="H78" s="247" t="str">
        <f t="shared" si="57"/>
        <v/>
      </c>
      <c r="I78" s="247" t="str">
        <f t="shared" si="57"/>
        <v/>
      </c>
      <c r="J78" s="247" t="str">
        <f>IF(NOT(ISBLANK(D76)),$J$30,"")</f>
        <v/>
      </c>
      <c r="K78" s="240">
        <f t="shared" si="6"/>
        <v>0</v>
      </c>
      <c r="L78" s="248"/>
      <c r="M78" s="242"/>
      <c r="N78" s="242"/>
      <c r="O78" s="243"/>
      <c r="P78" s="244">
        <f t="shared" si="8"/>
        <v>0</v>
      </c>
      <c r="Q78" s="242"/>
      <c r="R78" s="242"/>
      <c r="S78" s="242"/>
      <c r="T78" s="242"/>
      <c r="U78" s="242"/>
      <c r="V78" s="242"/>
      <c r="W78" s="242"/>
      <c r="X78" s="242"/>
      <c r="Y78" s="242"/>
      <c r="Z78" s="242"/>
      <c r="AA78" s="227"/>
    </row>
    <row r="79" spans="2:27" ht="15.75" x14ac:dyDescent="0.25">
      <c r="B79" s="210">
        <v>13</v>
      </c>
      <c r="C79" s="70" t="str">
        <f t="shared" ref="C79:I79" si="58">IF(ISBLANK(C76),"",C76)</f>
        <v/>
      </c>
      <c r="D79" s="83" t="str">
        <f t="shared" si="58"/>
        <v/>
      </c>
      <c r="E79" s="84" t="str">
        <f t="shared" si="58"/>
        <v/>
      </c>
      <c r="F79" s="84" t="str">
        <f t="shared" si="58"/>
        <v/>
      </c>
      <c r="G79" s="84" t="str">
        <f t="shared" si="58"/>
        <v/>
      </c>
      <c r="H79" s="85" t="str">
        <f t="shared" si="58"/>
        <v/>
      </c>
      <c r="I79" s="85" t="str">
        <f t="shared" si="58"/>
        <v/>
      </c>
      <c r="J79" s="53" t="str">
        <f>IF(NOT(ISBLANK(D76)),$J$31,"")</f>
        <v/>
      </c>
      <c r="K79" s="111">
        <f t="shared" si="6"/>
        <v>0</v>
      </c>
      <c r="L79" s="131">
        <f>SUM(L76:L78)</f>
        <v>0</v>
      </c>
      <c r="M79" s="86">
        <f>SUM(M76:M78)</f>
        <v>0</v>
      </c>
      <c r="N79" s="86">
        <f>SUM(N76:N78)</f>
        <v>0</v>
      </c>
      <c r="O79" s="135">
        <f>SUM(O76:O78)</f>
        <v>0</v>
      </c>
      <c r="P79" s="109">
        <f t="shared" si="8"/>
        <v>0</v>
      </c>
      <c r="Q79" s="86">
        <f t="shared" ref="Q79:Z79" si="59">SUM(Q76:Q78)</f>
        <v>0</v>
      </c>
      <c r="R79" s="86">
        <f t="shared" si="59"/>
        <v>0</v>
      </c>
      <c r="S79" s="86">
        <f t="shared" si="59"/>
        <v>0</v>
      </c>
      <c r="T79" s="86">
        <f t="shared" si="59"/>
        <v>0</v>
      </c>
      <c r="U79" s="86">
        <f t="shared" si="59"/>
        <v>0</v>
      </c>
      <c r="V79" s="86">
        <f t="shared" si="59"/>
        <v>0</v>
      </c>
      <c r="W79" s="86">
        <f t="shared" si="59"/>
        <v>0</v>
      </c>
      <c r="X79" s="86">
        <f t="shared" si="59"/>
        <v>0</v>
      </c>
      <c r="Y79" s="86">
        <f t="shared" si="59"/>
        <v>0</v>
      </c>
      <c r="Z79" s="86">
        <f t="shared" si="59"/>
        <v>0</v>
      </c>
      <c r="AA79" s="227"/>
    </row>
    <row r="80" spans="2:27" x14ac:dyDescent="0.2">
      <c r="B80" s="252">
        <v>14</v>
      </c>
      <c r="C80" s="297" t="str">
        <f>IF(AND(NOT(COUNTA(D80:I80)),(NOT(COUNTA(L80:O80))),(NOT(COUNTA(R80:Z80)))),"",VLOOKUP($D$7,Info_County_Code,2,FALSE))</f>
        <v/>
      </c>
      <c r="D80" s="263"/>
      <c r="E80" s="298"/>
      <c r="F80" s="298"/>
      <c r="G80" s="298"/>
      <c r="H80" s="242"/>
      <c r="I80" s="242"/>
      <c r="J80" s="246" t="str">
        <f>IF(NOT(ISBLANK(D80)),$J$28,"")</f>
        <v/>
      </c>
      <c r="K80" s="240">
        <f t="shared" si="6"/>
        <v>0</v>
      </c>
      <c r="L80" s="248"/>
      <c r="M80" s="242"/>
      <c r="N80" s="242"/>
      <c r="O80" s="243"/>
      <c r="P80" s="244">
        <f t="shared" si="8"/>
        <v>0</v>
      </c>
      <c r="Q80" s="242"/>
      <c r="R80" s="242"/>
      <c r="S80" s="242"/>
      <c r="T80" s="242"/>
      <c r="U80" s="242"/>
      <c r="V80" s="242"/>
      <c r="W80" s="242"/>
      <c r="X80" s="242"/>
      <c r="Y80" s="242"/>
      <c r="Z80" s="242"/>
      <c r="AA80" s="227"/>
    </row>
    <row r="81" spans="2:27" x14ac:dyDescent="0.2">
      <c r="B81" s="252">
        <v>14</v>
      </c>
      <c r="C81" s="299" t="str">
        <f t="shared" ref="C81:I81" si="60">IF(ISBLANK(C80),"",C80)</f>
        <v/>
      </c>
      <c r="D81" s="300" t="str">
        <f t="shared" si="60"/>
        <v/>
      </c>
      <c r="E81" s="301" t="str">
        <f t="shared" si="60"/>
        <v/>
      </c>
      <c r="F81" s="301" t="str">
        <f t="shared" si="60"/>
        <v/>
      </c>
      <c r="G81" s="301" t="str">
        <f t="shared" si="60"/>
        <v/>
      </c>
      <c r="H81" s="250" t="str">
        <f t="shared" si="60"/>
        <v/>
      </c>
      <c r="I81" s="250" t="str">
        <f t="shared" si="60"/>
        <v/>
      </c>
      <c r="J81" s="247" t="str">
        <f>IF(NOT(ISBLANK(D80)),$J$29,"")</f>
        <v/>
      </c>
      <c r="K81" s="240">
        <f t="shared" si="6"/>
        <v>0</v>
      </c>
      <c r="L81" s="248"/>
      <c r="M81" s="242"/>
      <c r="N81" s="242"/>
      <c r="O81" s="243"/>
      <c r="P81" s="244">
        <f t="shared" si="8"/>
        <v>0</v>
      </c>
      <c r="Q81" s="242"/>
      <c r="R81" s="242"/>
      <c r="S81" s="242"/>
      <c r="T81" s="242"/>
      <c r="U81" s="242"/>
      <c r="V81" s="242"/>
      <c r="W81" s="242"/>
      <c r="X81" s="242"/>
      <c r="Y81" s="242"/>
      <c r="Z81" s="242"/>
      <c r="AA81" s="227"/>
    </row>
    <row r="82" spans="2:27" x14ac:dyDescent="0.2">
      <c r="B82" s="252">
        <v>14</v>
      </c>
      <c r="C82" s="299" t="str">
        <f t="shared" ref="C82:I82" si="61">IF(ISBLANK(C80),"",C80)</f>
        <v/>
      </c>
      <c r="D82" s="302" t="str">
        <f t="shared" si="61"/>
        <v/>
      </c>
      <c r="E82" s="303" t="str">
        <f t="shared" si="61"/>
        <v/>
      </c>
      <c r="F82" s="303" t="str">
        <f t="shared" si="61"/>
        <v/>
      </c>
      <c r="G82" s="303" t="str">
        <f t="shared" si="61"/>
        <v/>
      </c>
      <c r="H82" s="247" t="str">
        <f t="shared" si="61"/>
        <v/>
      </c>
      <c r="I82" s="247" t="str">
        <f t="shared" si="61"/>
        <v/>
      </c>
      <c r="J82" s="247" t="str">
        <f>IF(NOT(ISBLANK(D80)),$J$30,"")</f>
        <v/>
      </c>
      <c r="K82" s="240">
        <f t="shared" si="6"/>
        <v>0</v>
      </c>
      <c r="L82" s="248"/>
      <c r="M82" s="242"/>
      <c r="N82" s="242"/>
      <c r="O82" s="243"/>
      <c r="P82" s="244">
        <f t="shared" si="8"/>
        <v>0</v>
      </c>
      <c r="Q82" s="242"/>
      <c r="R82" s="242"/>
      <c r="S82" s="242"/>
      <c r="T82" s="242"/>
      <c r="U82" s="242"/>
      <c r="V82" s="242"/>
      <c r="W82" s="242"/>
      <c r="X82" s="242"/>
      <c r="Y82" s="242"/>
      <c r="Z82" s="242"/>
      <c r="AA82" s="227"/>
    </row>
    <row r="83" spans="2:27" ht="15.75" x14ac:dyDescent="0.25">
      <c r="B83" s="210">
        <v>14</v>
      </c>
      <c r="C83" s="70" t="str">
        <f t="shared" ref="C83:I83" si="62">IF(ISBLANK(C80),"",C80)</f>
        <v/>
      </c>
      <c r="D83" s="83" t="str">
        <f t="shared" si="62"/>
        <v/>
      </c>
      <c r="E83" s="84" t="str">
        <f t="shared" si="62"/>
        <v/>
      </c>
      <c r="F83" s="84" t="str">
        <f t="shared" si="62"/>
        <v/>
      </c>
      <c r="G83" s="84" t="str">
        <f t="shared" si="62"/>
        <v/>
      </c>
      <c r="H83" s="85" t="str">
        <f t="shared" si="62"/>
        <v/>
      </c>
      <c r="I83" s="85" t="str">
        <f t="shared" si="62"/>
        <v/>
      </c>
      <c r="J83" s="53" t="str">
        <f>IF(NOT(ISBLANK(D80)),$J$31,"")</f>
        <v/>
      </c>
      <c r="K83" s="111">
        <f t="shared" si="6"/>
        <v>0</v>
      </c>
      <c r="L83" s="131">
        <f>SUM(L80:L82)</f>
        <v>0</v>
      </c>
      <c r="M83" s="86">
        <f>SUM(M80:M82)</f>
        <v>0</v>
      </c>
      <c r="N83" s="86">
        <f>SUM(N80:N82)</f>
        <v>0</v>
      </c>
      <c r="O83" s="135">
        <f>SUM(O80:O82)</f>
        <v>0</v>
      </c>
      <c r="P83" s="109">
        <f t="shared" si="8"/>
        <v>0</v>
      </c>
      <c r="Q83" s="86">
        <f t="shared" ref="Q83:Z83" si="63">SUM(Q80:Q82)</f>
        <v>0</v>
      </c>
      <c r="R83" s="86">
        <f t="shared" si="63"/>
        <v>0</v>
      </c>
      <c r="S83" s="86">
        <f t="shared" si="63"/>
        <v>0</v>
      </c>
      <c r="T83" s="86">
        <f t="shared" si="63"/>
        <v>0</v>
      </c>
      <c r="U83" s="86">
        <f t="shared" si="63"/>
        <v>0</v>
      </c>
      <c r="V83" s="86">
        <f t="shared" si="63"/>
        <v>0</v>
      </c>
      <c r="W83" s="86">
        <f t="shared" si="63"/>
        <v>0</v>
      </c>
      <c r="X83" s="86">
        <f t="shared" si="63"/>
        <v>0</v>
      </c>
      <c r="Y83" s="86">
        <f t="shared" si="63"/>
        <v>0</v>
      </c>
      <c r="Z83" s="86">
        <f t="shared" si="63"/>
        <v>0</v>
      </c>
      <c r="AA83" s="227"/>
    </row>
    <row r="84" spans="2:27" x14ac:dyDescent="0.2">
      <c r="B84" s="252">
        <v>15</v>
      </c>
      <c r="C84" s="297" t="str">
        <f>IF(AND(NOT(COUNTA(D84:I84)),(NOT(COUNTA(L84:O84))),(NOT(COUNTA(R84:Z84)))),"",VLOOKUP($D$7,Info_County_Code,2,FALSE))</f>
        <v/>
      </c>
      <c r="D84" s="263"/>
      <c r="E84" s="298"/>
      <c r="F84" s="298"/>
      <c r="G84" s="298"/>
      <c r="H84" s="242"/>
      <c r="I84" s="242"/>
      <c r="J84" s="246" t="str">
        <f>IF(NOT(ISBLANK(D84)),$J$28,"")</f>
        <v/>
      </c>
      <c r="K84" s="240">
        <f t="shared" si="6"/>
        <v>0</v>
      </c>
      <c r="L84" s="248"/>
      <c r="M84" s="242"/>
      <c r="N84" s="242"/>
      <c r="O84" s="243"/>
      <c r="P84" s="244">
        <f t="shared" si="8"/>
        <v>0</v>
      </c>
      <c r="Q84" s="242"/>
      <c r="R84" s="242"/>
      <c r="S84" s="242"/>
      <c r="T84" s="242"/>
      <c r="U84" s="242"/>
      <c r="V84" s="242"/>
      <c r="W84" s="242"/>
      <c r="X84" s="242"/>
      <c r="Y84" s="242"/>
      <c r="Z84" s="242"/>
      <c r="AA84" s="227"/>
    </row>
    <row r="85" spans="2:27" x14ac:dyDescent="0.2">
      <c r="B85" s="252">
        <v>15</v>
      </c>
      <c r="C85" s="299" t="str">
        <f t="shared" ref="C85:I85" si="64">IF(ISBLANK(C84),"",C84)</f>
        <v/>
      </c>
      <c r="D85" s="300" t="str">
        <f t="shared" si="64"/>
        <v/>
      </c>
      <c r="E85" s="301" t="str">
        <f t="shared" si="64"/>
        <v/>
      </c>
      <c r="F85" s="301" t="str">
        <f t="shared" si="64"/>
        <v/>
      </c>
      <c r="G85" s="301" t="str">
        <f t="shared" si="64"/>
        <v/>
      </c>
      <c r="H85" s="250" t="str">
        <f t="shared" si="64"/>
        <v/>
      </c>
      <c r="I85" s="250" t="str">
        <f t="shared" si="64"/>
        <v/>
      </c>
      <c r="J85" s="247" t="str">
        <f>IF(NOT(ISBLANK(D84)),$J$29,"")</f>
        <v/>
      </c>
      <c r="K85" s="240">
        <f t="shared" si="6"/>
        <v>0</v>
      </c>
      <c r="L85" s="248"/>
      <c r="M85" s="242"/>
      <c r="N85" s="242"/>
      <c r="O85" s="243"/>
      <c r="P85" s="244">
        <f t="shared" si="8"/>
        <v>0</v>
      </c>
      <c r="Q85" s="242"/>
      <c r="R85" s="242"/>
      <c r="S85" s="242"/>
      <c r="T85" s="242"/>
      <c r="U85" s="242"/>
      <c r="V85" s="242"/>
      <c r="W85" s="242"/>
      <c r="X85" s="242"/>
      <c r="Y85" s="242"/>
      <c r="Z85" s="242"/>
      <c r="AA85" s="227"/>
    </row>
    <row r="86" spans="2:27" x14ac:dyDescent="0.2">
      <c r="B86" s="252">
        <v>15</v>
      </c>
      <c r="C86" s="299" t="str">
        <f t="shared" ref="C86:I86" si="65">IF(ISBLANK(C84),"",C84)</f>
        <v/>
      </c>
      <c r="D86" s="302" t="str">
        <f t="shared" si="65"/>
        <v/>
      </c>
      <c r="E86" s="303" t="str">
        <f t="shared" si="65"/>
        <v/>
      </c>
      <c r="F86" s="303" t="str">
        <f t="shared" si="65"/>
        <v/>
      </c>
      <c r="G86" s="303" t="str">
        <f t="shared" si="65"/>
        <v/>
      </c>
      <c r="H86" s="247" t="str">
        <f t="shared" si="65"/>
        <v/>
      </c>
      <c r="I86" s="247" t="str">
        <f t="shared" si="65"/>
        <v/>
      </c>
      <c r="J86" s="247" t="str">
        <f>IF(NOT(ISBLANK(D84)),$J$30,"")</f>
        <v/>
      </c>
      <c r="K86" s="240">
        <f t="shared" si="6"/>
        <v>0</v>
      </c>
      <c r="L86" s="248"/>
      <c r="M86" s="242"/>
      <c r="N86" s="242"/>
      <c r="O86" s="243"/>
      <c r="P86" s="244">
        <f t="shared" si="8"/>
        <v>0</v>
      </c>
      <c r="Q86" s="242"/>
      <c r="R86" s="242"/>
      <c r="S86" s="242"/>
      <c r="T86" s="242"/>
      <c r="U86" s="242"/>
      <c r="V86" s="242"/>
      <c r="W86" s="242"/>
      <c r="X86" s="242"/>
      <c r="Y86" s="242"/>
      <c r="Z86" s="242"/>
      <c r="AA86" s="227"/>
    </row>
    <row r="87" spans="2:27" ht="15.75" x14ac:dyDescent="0.25">
      <c r="B87" s="210">
        <v>15</v>
      </c>
      <c r="C87" s="70" t="str">
        <f t="shared" ref="C87:I87" si="66">IF(ISBLANK(C84),"",C84)</f>
        <v/>
      </c>
      <c r="D87" s="71" t="str">
        <f t="shared" si="66"/>
        <v/>
      </c>
      <c r="E87" s="72" t="str">
        <f t="shared" si="66"/>
        <v/>
      </c>
      <c r="F87" s="72" t="str">
        <f t="shared" si="66"/>
        <v/>
      </c>
      <c r="G87" s="72" t="str">
        <f t="shared" si="66"/>
        <v/>
      </c>
      <c r="H87" s="53" t="str">
        <f t="shared" si="66"/>
        <v/>
      </c>
      <c r="I87" s="53" t="str">
        <f t="shared" si="66"/>
        <v/>
      </c>
      <c r="J87" s="53" t="str">
        <f>IF(NOT(ISBLANK(D84)),$J$31,"")</f>
        <v/>
      </c>
      <c r="K87" s="111">
        <f t="shared" si="6"/>
        <v>0</v>
      </c>
      <c r="L87" s="132">
        <f>SUM(L84:L86)</f>
        <v>0</v>
      </c>
      <c r="M87" s="87">
        <f>SUM(M84:M86)</f>
        <v>0</v>
      </c>
      <c r="N87" s="87">
        <f>SUM(N84:N86)</f>
        <v>0</v>
      </c>
      <c r="O87" s="136">
        <f>SUM(O84:O86)</f>
        <v>0</v>
      </c>
      <c r="P87" s="109">
        <f t="shared" si="8"/>
        <v>0</v>
      </c>
      <c r="Q87" s="87">
        <f t="shared" ref="Q87:Z87" si="67">SUM(Q84:Q86)</f>
        <v>0</v>
      </c>
      <c r="R87" s="87">
        <f t="shared" si="67"/>
        <v>0</v>
      </c>
      <c r="S87" s="87">
        <f t="shared" si="67"/>
        <v>0</v>
      </c>
      <c r="T87" s="87">
        <f t="shared" si="67"/>
        <v>0</v>
      </c>
      <c r="U87" s="87">
        <f t="shared" si="67"/>
        <v>0</v>
      </c>
      <c r="V87" s="87">
        <f t="shared" si="67"/>
        <v>0</v>
      </c>
      <c r="W87" s="87">
        <f t="shared" si="67"/>
        <v>0</v>
      </c>
      <c r="X87" s="87">
        <f t="shared" si="67"/>
        <v>0</v>
      </c>
      <c r="Y87" s="87">
        <f t="shared" si="67"/>
        <v>0</v>
      </c>
      <c r="Z87" s="87">
        <f t="shared" si="67"/>
        <v>0</v>
      </c>
      <c r="AA87" s="227"/>
    </row>
  </sheetData>
  <sheetProtection sheet="1" objects="1" scenarios="1" formatColumns="0" formatRows="0"/>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G13" zoomScale="60" zoomScaleNormal="60" zoomScaleSheetLayoutView="55" workbookViewId="0">
      <selection activeCell="U33" sqref="U33"/>
    </sheetView>
  </sheetViews>
  <sheetFormatPr defaultColWidth="0" defaultRowHeight="15" zeroHeight="1" x14ac:dyDescent="0.2"/>
  <cols>
    <col min="1" max="1" width="2.7109375" style="217" customWidth="1"/>
    <col min="2" max="2" width="6.7109375" style="217" customWidth="1"/>
    <col min="3" max="3" width="11.85546875" style="217" customWidth="1"/>
    <col min="4" max="4" width="26" style="217" customWidth="1"/>
    <col min="5" max="5" width="29.7109375" style="217" customWidth="1"/>
    <col min="6" max="6" width="31.7109375" style="217" bestFit="1" customWidth="1"/>
    <col min="7" max="7" width="22" style="217" customWidth="1"/>
    <col min="8" max="8" width="20.140625" style="217" customWidth="1"/>
    <col min="9" max="9" width="19.140625" style="217" customWidth="1"/>
    <col min="10" max="10" width="17.7109375" style="217" customWidth="1"/>
    <col min="11" max="11" width="21.42578125" style="217" customWidth="1"/>
    <col min="12" max="13" width="17.7109375" style="217" customWidth="1"/>
    <col min="14" max="14" width="21.42578125" style="217" customWidth="1"/>
    <col min="15" max="17" width="22.42578125" style="217" bestFit="1" customWidth="1"/>
    <col min="18" max="18" width="21" style="217" customWidth="1"/>
    <col min="19" max="19" width="21.28515625" style="217" customWidth="1"/>
    <col min="20" max="20" width="21.140625" style="217" customWidth="1"/>
    <col min="21" max="23" width="22.42578125" style="217" bestFit="1" customWidth="1"/>
    <col min="24" max="24" width="22.42578125" style="217" customWidth="1"/>
    <col min="25" max="25" width="19" style="217" hidden="1" customWidth="1"/>
    <col min="26" max="16384" width="9.140625" style="217" hidden="1"/>
  </cols>
  <sheetData>
    <row r="1" spans="1:25" x14ac:dyDescent="0.2">
      <c r="A1" s="227"/>
      <c r="B1" s="164" t="s">
        <v>332</v>
      </c>
      <c r="C1" s="164"/>
      <c r="D1" s="164"/>
      <c r="E1" s="227"/>
      <c r="F1" s="227"/>
      <c r="G1" s="227"/>
      <c r="H1" s="227"/>
      <c r="I1" s="227"/>
      <c r="J1" s="227"/>
      <c r="K1" s="227"/>
      <c r="L1" s="227"/>
      <c r="M1" s="227"/>
      <c r="N1" s="227"/>
      <c r="O1" s="227"/>
      <c r="P1" s="227"/>
      <c r="Q1" s="227"/>
      <c r="R1" s="227"/>
      <c r="S1" s="227"/>
      <c r="T1" s="227"/>
      <c r="U1" s="227"/>
      <c r="V1" s="227"/>
      <c r="W1" s="227"/>
      <c r="X1" s="227"/>
      <c r="Y1" s="227"/>
    </row>
    <row r="2" spans="1:25" x14ac:dyDescent="0.2">
      <c r="A2" s="227"/>
      <c r="B2" s="227"/>
      <c r="C2" s="209"/>
      <c r="D2" s="209"/>
      <c r="E2" s="209"/>
      <c r="F2" s="227"/>
      <c r="G2" s="227"/>
      <c r="H2" s="227"/>
      <c r="I2" s="227"/>
      <c r="J2" s="227"/>
      <c r="K2" s="227"/>
      <c r="L2" s="227"/>
      <c r="M2" s="227"/>
      <c r="N2" s="227"/>
      <c r="O2" s="227"/>
      <c r="P2" s="227"/>
      <c r="Q2" s="227"/>
      <c r="R2" s="227"/>
      <c r="S2" s="227"/>
      <c r="T2" s="227"/>
      <c r="U2" s="227"/>
      <c r="V2" s="227"/>
      <c r="W2" s="227"/>
      <c r="X2" s="227"/>
      <c r="Y2" s="227"/>
    </row>
    <row r="3" spans="1:25" ht="18" x14ac:dyDescent="0.2">
      <c r="A3" s="227"/>
      <c r="B3" s="397" t="s">
        <v>374</v>
      </c>
      <c r="C3" s="227"/>
      <c r="D3" s="1"/>
      <c r="E3" s="1"/>
      <c r="F3" s="1"/>
      <c r="G3" s="1"/>
      <c r="H3" s="1"/>
      <c r="I3" s="1"/>
      <c r="J3" s="227"/>
      <c r="K3" s="227"/>
      <c r="L3" s="227"/>
      <c r="M3" s="227"/>
      <c r="N3" s="227"/>
      <c r="O3" s="227"/>
      <c r="P3" s="227"/>
      <c r="Q3" s="227"/>
      <c r="R3" s="227"/>
      <c r="S3" s="227"/>
      <c r="T3" s="227"/>
      <c r="U3" s="227"/>
      <c r="V3" s="227"/>
      <c r="W3" s="227"/>
      <c r="X3" s="227"/>
      <c r="Y3" s="227"/>
    </row>
    <row r="4" spans="1:25" ht="18" x14ac:dyDescent="0.2">
      <c r="A4" s="227"/>
      <c r="B4" s="397" t="s">
        <v>0</v>
      </c>
      <c r="C4" s="227"/>
      <c r="D4" s="1"/>
      <c r="E4" s="1"/>
      <c r="F4" s="1"/>
      <c r="G4" s="1"/>
      <c r="H4" s="1"/>
      <c r="I4" s="1"/>
      <c r="J4" s="227"/>
      <c r="K4" s="227"/>
      <c r="L4" s="227"/>
      <c r="M4" s="227"/>
      <c r="N4" s="227"/>
      <c r="O4" s="227"/>
      <c r="P4" s="227"/>
      <c r="Q4" s="227"/>
      <c r="R4" s="227"/>
      <c r="S4" s="227"/>
      <c r="T4" s="227"/>
      <c r="U4" s="227"/>
      <c r="V4" s="227"/>
      <c r="W4" s="227"/>
      <c r="X4" s="227"/>
      <c r="Y4" s="227"/>
    </row>
    <row r="5" spans="1:25" ht="18" x14ac:dyDescent="0.2">
      <c r="A5" s="227"/>
      <c r="B5" s="138" t="s">
        <v>182</v>
      </c>
      <c r="C5" s="227"/>
      <c r="D5" s="105"/>
      <c r="E5" s="105"/>
      <c r="F5" s="105"/>
      <c r="G5" s="105"/>
      <c r="H5" s="105"/>
      <c r="I5" s="105"/>
      <c r="J5" s="227"/>
      <c r="K5" s="227"/>
      <c r="L5" s="227"/>
      <c r="M5" s="227"/>
      <c r="N5" s="227"/>
      <c r="O5" s="227"/>
      <c r="P5" s="227"/>
      <c r="Q5" s="227"/>
      <c r="R5" s="227"/>
      <c r="S5" s="227"/>
      <c r="T5" s="227"/>
      <c r="U5" s="227"/>
      <c r="V5" s="227"/>
      <c r="W5" s="227"/>
      <c r="X5" s="227"/>
      <c r="Y5" s="227"/>
    </row>
    <row r="6" spans="1:25" ht="15.75" x14ac:dyDescent="0.2">
      <c r="A6" s="227"/>
      <c r="B6" s="227"/>
      <c r="C6" s="227"/>
      <c r="D6" s="207"/>
      <c r="E6" s="207"/>
      <c r="F6" s="207"/>
      <c r="G6" s="207"/>
      <c r="H6" s="207"/>
      <c r="I6" s="227"/>
      <c r="J6" s="227"/>
      <c r="K6" s="227"/>
      <c r="L6" s="227"/>
      <c r="M6" s="227"/>
      <c r="N6" s="227"/>
      <c r="O6" s="227"/>
      <c r="P6" s="227"/>
      <c r="Q6" s="227"/>
      <c r="R6" s="227"/>
      <c r="S6" s="227"/>
      <c r="T6" s="227"/>
      <c r="U6" s="227"/>
      <c r="V6" s="227"/>
      <c r="W6" s="227"/>
      <c r="X6" s="227"/>
      <c r="Y6" s="227"/>
    </row>
    <row r="7" spans="1:25" ht="15.75" x14ac:dyDescent="0.25">
      <c r="A7" s="227"/>
      <c r="B7" s="227"/>
      <c r="C7" s="212" t="s">
        <v>2</v>
      </c>
      <c r="D7" s="55" t="str">
        <f>IF(ISBLANK('1. Information'!D6),"",'1. Information'!D6)</f>
        <v>Fresno</v>
      </c>
      <c r="F7" s="205" t="s">
        <v>3</v>
      </c>
      <c r="G7" s="89">
        <f>IF(ISBLANK('1. Information'!D5),"",'1. Information'!D5)</f>
        <v>43223</v>
      </c>
      <c r="I7" s="227"/>
      <c r="J7" s="227"/>
      <c r="K7" s="227"/>
      <c r="L7" s="227"/>
      <c r="M7" s="227"/>
      <c r="N7" s="227"/>
      <c r="O7" s="227"/>
      <c r="P7" s="227"/>
      <c r="Q7" s="227"/>
      <c r="R7" s="227"/>
      <c r="S7" s="227"/>
      <c r="T7" s="227"/>
      <c r="U7" s="227"/>
      <c r="V7" s="227"/>
      <c r="W7" s="227"/>
      <c r="X7" s="227"/>
      <c r="Y7" s="227"/>
    </row>
    <row r="8" spans="1:25" ht="15.75" x14ac:dyDescent="0.25">
      <c r="A8" s="227"/>
      <c r="B8" s="227"/>
      <c r="C8" s="7"/>
      <c r="D8" s="7"/>
      <c r="E8" s="63"/>
      <c r="F8" s="7"/>
      <c r="G8" s="183"/>
      <c r="H8" s="229"/>
      <c r="I8" s="227"/>
      <c r="J8" s="227"/>
      <c r="K8" s="227"/>
      <c r="L8" s="227"/>
      <c r="M8" s="227"/>
      <c r="N8" s="227"/>
      <c r="O8" s="227"/>
      <c r="P8" s="227"/>
      <c r="Q8" s="227"/>
      <c r="R8" s="227"/>
      <c r="S8" s="227"/>
      <c r="T8" s="227"/>
      <c r="U8" s="227"/>
      <c r="V8" s="227"/>
      <c r="W8" s="227"/>
      <c r="X8" s="227"/>
      <c r="Y8" s="227"/>
    </row>
    <row r="9" spans="1:25" ht="18.75" thickBot="1" x14ac:dyDescent="0.3">
      <c r="A9" s="227"/>
      <c r="B9" s="398" t="s">
        <v>385</v>
      </c>
      <c r="C9" s="141"/>
      <c r="D9" s="141"/>
      <c r="E9" s="168"/>
      <c r="F9" s="141"/>
      <c r="G9" s="184"/>
      <c r="H9" s="233"/>
      <c r="I9" s="231"/>
      <c r="J9" s="231"/>
      <c r="K9" s="231"/>
      <c r="L9" s="231"/>
      <c r="M9" s="231"/>
      <c r="N9" s="231"/>
      <c r="O9" s="231"/>
      <c r="P9" s="231"/>
      <c r="Q9" s="231"/>
      <c r="R9" s="231"/>
      <c r="S9" s="231"/>
      <c r="T9" s="231"/>
      <c r="U9" s="231"/>
      <c r="V9" s="231"/>
      <c r="W9" s="231"/>
      <c r="X9" s="227"/>
      <c r="Y9" s="227"/>
    </row>
    <row r="10" spans="1:25" ht="16.5" thickTop="1" x14ac:dyDescent="0.25">
      <c r="A10" s="227"/>
      <c r="B10" s="7"/>
      <c r="C10" s="7"/>
      <c r="D10" s="7"/>
      <c r="E10" s="63"/>
      <c r="F10" s="7"/>
      <c r="G10" s="183"/>
      <c r="H10" s="229"/>
      <c r="I10" s="227"/>
      <c r="J10" s="227"/>
      <c r="K10" s="227"/>
      <c r="L10" s="227"/>
      <c r="M10" s="227"/>
      <c r="N10" s="227"/>
      <c r="O10" s="227"/>
      <c r="P10" s="227"/>
      <c r="Q10" s="227"/>
      <c r="R10" s="227"/>
      <c r="S10" s="227"/>
      <c r="T10" s="227"/>
      <c r="U10" s="227"/>
      <c r="V10" s="227"/>
      <c r="W10" s="227"/>
      <c r="X10" s="227"/>
      <c r="Y10" s="227"/>
    </row>
    <row r="11" spans="1:25" ht="15.75" x14ac:dyDescent="0.25">
      <c r="A11" s="227"/>
      <c r="B11" s="227"/>
      <c r="C11" s="7"/>
      <c r="D11" s="7"/>
      <c r="E11" s="63"/>
      <c r="F11" s="185" t="s">
        <v>59</v>
      </c>
      <c r="G11" s="186" t="s">
        <v>61</v>
      </c>
      <c r="H11" s="252" t="s">
        <v>65</v>
      </c>
      <c r="I11" s="219" t="s">
        <v>350</v>
      </c>
      <c r="J11" s="234" t="s">
        <v>351</v>
      </c>
      <c r="K11" s="259" t="s">
        <v>352</v>
      </c>
      <c r="L11" s="219" t="s">
        <v>361</v>
      </c>
      <c r="M11" s="219" t="s">
        <v>353</v>
      </c>
      <c r="N11" s="219" t="s">
        <v>354</v>
      </c>
      <c r="O11" s="219" t="s">
        <v>355</v>
      </c>
      <c r="P11" s="219" t="s">
        <v>356</v>
      </c>
      <c r="Q11" s="219" t="s">
        <v>357</v>
      </c>
      <c r="R11" s="219" t="s">
        <v>358</v>
      </c>
      <c r="S11" s="219" t="s">
        <v>359</v>
      </c>
      <c r="T11" s="219" t="s">
        <v>360</v>
      </c>
      <c r="U11" s="219" t="s">
        <v>362</v>
      </c>
      <c r="V11" s="219" t="s">
        <v>364</v>
      </c>
      <c r="W11" s="219" t="s">
        <v>365</v>
      </c>
      <c r="X11" s="227"/>
      <c r="Y11" s="227"/>
    </row>
    <row r="12" spans="1:25" ht="15.75" x14ac:dyDescent="0.25">
      <c r="A12" s="227"/>
      <c r="B12" s="227"/>
      <c r="C12" s="227"/>
      <c r="D12" s="7"/>
      <c r="E12" s="63"/>
      <c r="F12" s="187"/>
      <c r="G12" s="500" t="s">
        <v>304</v>
      </c>
      <c r="H12" s="501"/>
      <c r="I12" s="501"/>
      <c r="J12" s="502"/>
      <c r="K12" s="463" t="s">
        <v>305</v>
      </c>
      <c r="L12" s="464"/>
      <c r="M12" s="464"/>
      <c r="N12" s="464"/>
      <c r="O12" s="464"/>
      <c r="P12" s="464"/>
      <c r="Q12" s="464"/>
      <c r="R12" s="464"/>
      <c r="S12" s="464"/>
      <c r="T12" s="464"/>
      <c r="U12" s="464"/>
      <c r="V12" s="464"/>
      <c r="W12" s="464"/>
      <c r="X12" s="227"/>
      <c r="Y12" s="227"/>
    </row>
    <row r="13" spans="1:25" ht="47.25" x14ac:dyDescent="0.25">
      <c r="A13" s="227"/>
      <c r="B13" s="227"/>
      <c r="C13" s="14"/>
      <c r="D13" s="14"/>
      <c r="E13" s="14"/>
      <c r="F13" s="127" t="s">
        <v>279</v>
      </c>
      <c r="G13" s="113" t="s">
        <v>7</v>
      </c>
      <c r="H13" s="76" t="s">
        <v>8</v>
      </c>
      <c r="I13" s="76" t="s">
        <v>63</v>
      </c>
      <c r="J13" s="119" t="s">
        <v>10</v>
      </c>
      <c r="K13" s="128" t="s">
        <v>391</v>
      </c>
      <c r="L13" s="76" t="s">
        <v>277</v>
      </c>
      <c r="M13" s="80" t="s">
        <v>262</v>
      </c>
      <c r="N13" s="80" t="s">
        <v>263</v>
      </c>
      <c r="O13" s="81" t="s">
        <v>264</v>
      </c>
      <c r="P13" s="81" t="s">
        <v>265</v>
      </c>
      <c r="Q13" s="81" t="s">
        <v>266</v>
      </c>
      <c r="R13" s="80" t="s">
        <v>267</v>
      </c>
      <c r="S13" s="80" t="s">
        <v>268</v>
      </c>
      <c r="T13" s="80" t="s">
        <v>269</v>
      </c>
      <c r="U13" s="80" t="s">
        <v>270</v>
      </c>
      <c r="V13" s="80" t="s">
        <v>271</v>
      </c>
      <c r="W13" s="80" t="s">
        <v>272</v>
      </c>
      <c r="X13" s="227"/>
      <c r="Y13" s="227"/>
    </row>
    <row r="14" spans="1:25" ht="15.75" x14ac:dyDescent="0.25">
      <c r="A14" s="227"/>
      <c r="B14" s="219">
        <v>1</v>
      </c>
      <c r="C14" s="456" t="s">
        <v>34</v>
      </c>
      <c r="D14" s="456"/>
      <c r="E14" s="456"/>
      <c r="F14" s="240">
        <f t="shared" ref="F14:F19" si="0">SUM(G14:J14,K14)</f>
        <v>0</v>
      </c>
      <c r="G14" s="304"/>
      <c r="H14" s="305"/>
      <c r="I14" s="305"/>
      <c r="J14" s="306"/>
      <c r="K14" s="244">
        <f t="shared" ref="K14:K19" si="1">SUM(L14,M14:W14)</f>
        <v>0</v>
      </c>
      <c r="L14" s="305"/>
      <c r="M14" s="242"/>
      <c r="N14" s="242"/>
      <c r="O14" s="242"/>
      <c r="P14" s="242"/>
      <c r="Q14" s="242"/>
      <c r="R14" s="242"/>
      <c r="S14" s="242"/>
      <c r="T14" s="242"/>
      <c r="U14" s="242"/>
      <c r="V14" s="242"/>
      <c r="W14" s="242"/>
      <c r="X14" s="227"/>
      <c r="Y14" s="227"/>
    </row>
    <row r="15" spans="1:25" ht="15.75" x14ac:dyDescent="0.25">
      <c r="A15" s="227"/>
      <c r="B15" s="219">
        <v>2</v>
      </c>
      <c r="C15" s="456" t="s">
        <v>35</v>
      </c>
      <c r="D15" s="456"/>
      <c r="E15" s="456"/>
      <c r="F15" s="240">
        <f t="shared" si="0"/>
        <v>0</v>
      </c>
      <c r="G15" s="304"/>
      <c r="H15" s="305"/>
      <c r="I15" s="305"/>
      <c r="J15" s="306"/>
      <c r="K15" s="244">
        <f t="shared" si="1"/>
        <v>0</v>
      </c>
      <c r="L15" s="305"/>
      <c r="M15" s="242"/>
      <c r="N15" s="242"/>
      <c r="O15" s="242"/>
      <c r="P15" s="242"/>
      <c r="Q15" s="242"/>
      <c r="R15" s="242"/>
      <c r="S15" s="242"/>
      <c r="T15" s="242"/>
      <c r="U15" s="242"/>
      <c r="V15" s="242"/>
      <c r="W15" s="242"/>
      <c r="X15" s="227"/>
      <c r="Y15" s="227"/>
    </row>
    <row r="16" spans="1:25" ht="15.75" x14ac:dyDescent="0.25">
      <c r="A16" s="227"/>
      <c r="B16" s="219">
        <v>3</v>
      </c>
      <c r="C16" s="456" t="s">
        <v>339</v>
      </c>
      <c r="D16" s="456"/>
      <c r="E16" s="456"/>
      <c r="F16" s="240">
        <f t="shared" si="0"/>
        <v>0</v>
      </c>
      <c r="G16" s="304"/>
      <c r="H16" s="305"/>
      <c r="I16" s="305"/>
      <c r="J16" s="306"/>
      <c r="K16" s="244">
        <f t="shared" si="1"/>
        <v>0</v>
      </c>
      <c r="L16" s="305"/>
      <c r="M16" s="242"/>
      <c r="N16" s="242"/>
      <c r="O16" s="242"/>
      <c r="P16" s="242"/>
      <c r="Q16" s="242"/>
      <c r="R16" s="242"/>
      <c r="S16" s="242"/>
      <c r="T16" s="242"/>
      <c r="U16" s="242"/>
      <c r="V16" s="242"/>
      <c r="W16" s="242"/>
      <c r="X16" s="227"/>
      <c r="Y16" s="227"/>
    </row>
    <row r="17" spans="1:25" ht="15.75" x14ac:dyDescent="0.25">
      <c r="A17" s="227"/>
      <c r="B17" s="219">
        <v>4</v>
      </c>
      <c r="C17" s="456" t="s">
        <v>314</v>
      </c>
      <c r="D17" s="456"/>
      <c r="E17" s="456"/>
      <c r="F17" s="240">
        <f t="shared" si="0"/>
        <v>0</v>
      </c>
      <c r="G17" s="304"/>
      <c r="H17" s="305"/>
      <c r="I17" s="305"/>
      <c r="J17" s="306"/>
      <c r="K17" s="244">
        <f t="shared" si="1"/>
        <v>0</v>
      </c>
      <c r="L17" s="242"/>
      <c r="M17" s="242"/>
      <c r="N17" s="242"/>
      <c r="O17" s="242"/>
      <c r="P17" s="242"/>
      <c r="Q17" s="242"/>
      <c r="R17" s="242"/>
      <c r="S17" s="242"/>
      <c r="T17" s="242"/>
      <c r="U17" s="242"/>
      <c r="V17" s="242"/>
      <c r="W17" s="242"/>
      <c r="X17" s="227"/>
      <c r="Y17" s="227"/>
    </row>
    <row r="18" spans="1:25" ht="15.75" x14ac:dyDescent="0.25">
      <c r="A18" s="227"/>
      <c r="B18" s="219">
        <v>5</v>
      </c>
      <c r="C18" s="456" t="s">
        <v>315</v>
      </c>
      <c r="D18" s="456"/>
      <c r="E18" s="456"/>
      <c r="F18" s="240">
        <f t="shared" si="0"/>
        <v>0</v>
      </c>
      <c r="G18" s="304"/>
      <c r="H18" s="305"/>
      <c r="I18" s="305"/>
      <c r="J18" s="306"/>
      <c r="K18" s="244">
        <f t="shared" si="1"/>
        <v>0</v>
      </c>
      <c r="L18" s="242"/>
      <c r="M18" s="242"/>
      <c r="N18" s="242"/>
      <c r="O18" s="242"/>
      <c r="P18" s="242"/>
      <c r="Q18" s="242"/>
      <c r="R18" s="242"/>
      <c r="S18" s="242"/>
      <c r="T18" s="242"/>
      <c r="U18" s="242"/>
      <c r="V18" s="242"/>
      <c r="W18" s="242"/>
      <c r="X18" s="227"/>
      <c r="Y18" s="227"/>
    </row>
    <row r="19" spans="1:25" ht="15.75" x14ac:dyDescent="0.25">
      <c r="A19" s="227"/>
      <c r="B19" s="219">
        <v>6</v>
      </c>
      <c r="C19" s="465" t="s">
        <v>229</v>
      </c>
      <c r="D19" s="466"/>
      <c r="E19" s="467"/>
      <c r="F19" s="240">
        <f t="shared" si="0"/>
        <v>291472.07</v>
      </c>
      <c r="G19" s="249">
        <f>SUM(H29:H33)</f>
        <v>0</v>
      </c>
      <c r="H19" s="250">
        <f>SUM(I29:I33)</f>
        <v>0</v>
      </c>
      <c r="I19" s="250">
        <f>SUM(J29:J33)</f>
        <v>0</v>
      </c>
      <c r="J19" s="251">
        <f>SUM(K29:K33)</f>
        <v>0</v>
      </c>
      <c r="K19" s="246">
        <f t="shared" si="1"/>
        <v>291472.07</v>
      </c>
      <c r="L19" s="250">
        <f t="shared" ref="L19:U19" si="2">SUM(M29:M33)</f>
        <v>46868.71</v>
      </c>
      <c r="M19" s="250">
        <f t="shared" si="2"/>
        <v>0</v>
      </c>
      <c r="N19" s="250">
        <f t="shared" si="2"/>
        <v>0</v>
      </c>
      <c r="O19" s="250">
        <f t="shared" si="2"/>
        <v>0</v>
      </c>
      <c r="P19" s="250">
        <f t="shared" si="2"/>
        <v>0</v>
      </c>
      <c r="Q19" s="250">
        <f t="shared" si="2"/>
        <v>0</v>
      </c>
      <c r="R19" s="250">
        <f t="shared" si="2"/>
        <v>0</v>
      </c>
      <c r="S19" s="250">
        <f t="shared" si="2"/>
        <v>0</v>
      </c>
      <c r="T19" s="250">
        <f t="shared" si="2"/>
        <v>244603.36000000002</v>
      </c>
      <c r="U19" s="250">
        <f t="shared" si="2"/>
        <v>0</v>
      </c>
      <c r="V19" s="250">
        <f>SUM(W29:W33)</f>
        <v>0</v>
      </c>
      <c r="W19" s="250">
        <f>SUM(X29:X33)</f>
        <v>0</v>
      </c>
      <c r="X19" s="227"/>
      <c r="Y19" s="227"/>
    </row>
    <row r="20" spans="1:25" ht="30.95" customHeight="1" x14ac:dyDescent="0.25">
      <c r="A20" s="227"/>
      <c r="B20" s="219">
        <v>7</v>
      </c>
      <c r="C20" s="487" t="s">
        <v>313</v>
      </c>
      <c r="D20" s="487"/>
      <c r="E20" s="487"/>
      <c r="F20" s="110">
        <f>SUM(F14:F16,F18:F19)</f>
        <v>291472.07</v>
      </c>
      <c r="G20" s="108">
        <f>SUM(G14:G16,G18:G19)</f>
        <v>0</v>
      </c>
      <c r="H20" s="52">
        <f t="shared" ref="H20:W20" si="3">SUM(H14:H16,H18:H19)</f>
        <v>0</v>
      </c>
      <c r="I20" s="52">
        <f t="shared" si="3"/>
        <v>0</v>
      </c>
      <c r="J20" s="110">
        <f t="shared" si="3"/>
        <v>0</v>
      </c>
      <c r="K20" s="108">
        <f t="shared" si="3"/>
        <v>291472.07</v>
      </c>
      <c r="L20" s="52">
        <f t="shared" si="3"/>
        <v>46868.71</v>
      </c>
      <c r="M20" s="52">
        <f t="shared" si="3"/>
        <v>0</v>
      </c>
      <c r="N20" s="52">
        <f t="shared" si="3"/>
        <v>0</v>
      </c>
      <c r="O20" s="52">
        <f t="shared" si="3"/>
        <v>0</v>
      </c>
      <c r="P20" s="52">
        <f t="shared" si="3"/>
        <v>0</v>
      </c>
      <c r="Q20" s="52">
        <f t="shared" si="3"/>
        <v>0</v>
      </c>
      <c r="R20" s="52">
        <f t="shared" si="3"/>
        <v>0</v>
      </c>
      <c r="S20" s="52">
        <f t="shared" si="3"/>
        <v>0</v>
      </c>
      <c r="T20" s="52">
        <f t="shared" si="3"/>
        <v>244603.36000000002</v>
      </c>
      <c r="U20" s="52">
        <f t="shared" si="3"/>
        <v>0</v>
      </c>
      <c r="V20" s="52">
        <f t="shared" si="3"/>
        <v>0</v>
      </c>
      <c r="W20" s="52">
        <f t="shared" si="3"/>
        <v>0</v>
      </c>
      <c r="X20" s="227"/>
      <c r="Y20" s="227"/>
    </row>
    <row r="21" spans="1:25" ht="30.95" customHeight="1" x14ac:dyDescent="0.25">
      <c r="A21" s="227"/>
      <c r="B21" s="219">
        <v>8</v>
      </c>
      <c r="C21" s="487" t="s">
        <v>309</v>
      </c>
      <c r="D21" s="487"/>
      <c r="E21" s="487"/>
      <c r="F21" s="110"/>
      <c r="G21" s="108"/>
      <c r="H21" s="52"/>
      <c r="I21" s="52"/>
      <c r="J21" s="110"/>
      <c r="K21" s="108">
        <f>SUM(L21,M21:W21)</f>
        <v>3754418.71</v>
      </c>
      <c r="L21" s="52">
        <f>'2. Component Summary'!G27+'2. Component Summary'!G32</f>
        <v>46868.71</v>
      </c>
      <c r="M21" s="52">
        <f>'2. Component Summary'!G30+'2. Component Summary'!G31</f>
        <v>0</v>
      </c>
      <c r="N21" s="52">
        <f>'2. Component Summary'!G26</f>
        <v>0</v>
      </c>
      <c r="O21" s="52">
        <f>'2. Component Summary'!G25</f>
        <v>0</v>
      </c>
      <c r="P21" s="52">
        <f>'2. Component Summary'!G24</f>
        <v>0</v>
      </c>
      <c r="Q21" s="52">
        <f>'2. Component Summary'!G23</f>
        <v>0</v>
      </c>
      <c r="R21" s="52">
        <f>'2. Component Summary'!G22</f>
        <v>0</v>
      </c>
      <c r="S21" s="52">
        <f>'2. Component Summary'!G21</f>
        <v>0</v>
      </c>
      <c r="T21" s="52">
        <f>'2. Component Summary'!G20</f>
        <v>3707550</v>
      </c>
      <c r="U21" s="52">
        <f>'2. Component Summary'!G19</f>
        <v>0</v>
      </c>
      <c r="V21" s="52">
        <f>'2. Component Summary'!G18</f>
        <v>0</v>
      </c>
      <c r="W21" s="52">
        <f>'2. Component Summary'!G17</f>
        <v>0</v>
      </c>
      <c r="X21" s="227"/>
      <c r="Y21" s="227"/>
    </row>
    <row r="22" spans="1:25"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row>
    <row r="23" spans="1:25" ht="15.75" x14ac:dyDescent="0.25">
      <c r="A23" s="227"/>
      <c r="B23" s="227"/>
      <c r="C23" s="149"/>
      <c r="D23" s="227"/>
      <c r="E23" s="227"/>
      <c r="F23" s="227"/>
      <c r="G23" s="227"/>
      <c r="H23" s="227"/>
      <c r="I23" s="227"/>
      <c r="J23" s="227"/>
      <c r="K23" s="227"/>
      <c r="L23" s="227"/>
      <c r="M23" s="227"/>
      <c r="N23" s="227"/>
      <c r="O23" s="227"/>
      <c r="P23" s="227"/>
      <c r="Q23" s="227"/>
      <c r="R23" s="227"/>
      <c r="S23" s="227"/>
      <c r="T23" s="227"/>
      <c r="U23" s="227"/>
      <c r="V23" s="227"/>
      <c r="W23" s="227"/>
      <c r="X23" s="227"/>
      <c r="Y23" s="227"/>
    </row>
    <row r="24" spans="1:25" ht="18.75" thickBot="1" x14ac:dyDescent="0.3">
      <c r="A24" s="227"/>
      <c r="B24" s="399" t="s">
        <v>386</v>
      </c>
      <c r="C24" s="147"/>
      <c r="D24" s="231"/>
      <c r="E24" s="231"/>
      <c r="F24" s="231"/>
      <c r="G24" s="231"/>
      <c r="H24" s="231"/>
      <c r="I24" s="231"/>
      <c r="J24" s="231"/>
      <c r="K24" s="231"/>
      <c r="L24" s="231"/>
      <c r="M24" s="231"/>
      <c r="N24" s="231"/>
      <c r="O24" s="231"/>
      <c r="P24" s="231"/>
      <c r="Q24" s="231"/>
      <c r="R24" s="231"/>
      <c r="S24" s="231"/>
      <c r="T24" s="231"/>
      <c r="U24" s="231"/>
      <c r="V24" s="231"/>
      <c r="W24" s="231"/>
      <c r="X24" s="231"/>
      <c r="Y24" s="227"/>
    </row>
    <row r="25" spans="1:25" ht="16.5" thickTop="1" x14ac:dyDescent="0.25">
      <c r="A25" s="227"/>
      <c r="B25" s="149"/>
      <c r="C25" s="149"/>
      <c r="D25" s="227"/>
      <c r="E25" s="227"/>
      <c r="F25" s="227"/>
      <c r="G25" s="227"/>
      <c r="H25" s="227"/>
      <c r="I25" s="227"/>
      <c r="J25" s="227"/>
      <c r="K25" s="227"/>
      <c r="L25" s="227"/>
      <c r="M25" s="227"/>
      <c r="N25" s="227"/>
      <c r="O25" s="227"/>
      <c r="P25" s="227"/>
      <c r="Q25" s="227"/>
      <c r="R25" s="227"/>
      <c r="S25" s="227"/>
      <c r="T25" s="227"/>
      <c r="U25" s="227"/>
      <c r="V25" s="227"/>
      <c r="W25" s="227"/>
      <c r="X25" s="227"/>
      <c r="Y25" s="227"/>
    </row>
    <row r="26" spans="1:25" ht="15.75" x14ac:dyDescent="0.25">
      <c r="A26" s="227"/>
      <c r="B26" s="149"/>
      <c r="C26" s="219" t="s">
        <v>59</v>
      </c>
      <c r="D26" s="219" t="s">
        <v>61</v>
      </c>
      <c r="E26" s="219" t="s">
        <v>65</v>
      </c>
      <c r="F26" s="219" t="s">
        <v>350</v>
      </c>
      <c r="G26" s="234" t="s">
        <v>351</v>
      </c>
      <c r="H26" s="259" t="s">
        <v>352</v>
      </c>
      <c r="I26" s="219" t="s">
        <v>361</v>
      </c>
      <c r="J26" s="219" t="s">
        <v>353</v>
      </c>
      <c r="K26" s="234" t="s">
        <v>354</v>
      </c>
      <c r="L26" s="259" t="s">
        <v>355</v>
      </c>
      <c r="M26" s="219" t="s">
        <v>356</v>
      </c>
      <c r="N26" s="219" t="s">
        <v>357</v>
      </c>
      <c r="O26" s="219" t="s">
        <v>358</v>
      </c>
      <c r="P26" s="219" t="s">
        <v>359</v>
      </c>
      <c r="Q26" s="219" t="s">
        <v>360</v>
      </c>
      <c r="R26" s="219" t="s">
        <v>362</v>
      </c>
      <c r="S26" s="219" t="s">
        <v>364</v>
      </c>
      <c r="T26" s="219" t="s">
        <v>365</v>
      </c>
      <c r="U26" s="219" t="s">
        <v>366</v>
      </c>
      <c r="V26" s="219" t="s">
        <v>367</v>
      </c>
      <c r="W26" s="219" t="s">
        <v>369</v>
      </c>
      <c r="X26" s="219" t="s">
        <v>370</v>
      </c>
    </row>
    <row r="27" spans="1:25" ht="15.75" x14ac:dyDescent="0.25">
      <c r="A27" s="227"/>
      <c r="B27" s="75"/>
      <c r="C27" s="464" t="s">
        <v>303</v>
      </c>
      <c r="D27" s="464"/>
      <c r="E27" s="464"/>
      <c r="F27" s="464"/>
      <c r="G27" s="497"/>
      <c r="H27" s="463" t="s">
        <v>62</v>
      </c>
      <c r="I27" s="464"/>
      <c r="J27" s="464"/>
      <c r="K27" s="497"/>
      <c r="L27" s="498" t="s">
        <v>60</v>
      </c>
      <c r="M27" s="499"/>
      <c r="N27" s="499"/>
      <c r="O27" s="499"/>
      <c r="P27" s="499"/>
      <c r="Q27" s="499"/>
      <c r="R27" s="499"/>
      <c r="S27" s="499"/>
      <c r="T27" s="499"/>
      <c r="U27" s="499"/>
      <c r="V27" s="499"/>
      <c r="W27" s="499"/>
      <c r="X27" s="499"/>
    </row>
    <row r="28" spans="1:25" ht="63" x14ac:dyDescent="0.2">
      <c r="A28" s="227"/>
      <c r="B28" s="176" t="s">
        <v>177</v>
      </c>
      <c r="C28" s="144" t="s">
        <v>20</v>
      </c>
      <c r="D28" s="81" t="s">
        <v>19</v>
      </c>
      <c r="E28" s="144" t="s">
        <v>5</v>
      </c>
      <c r="F28" s="144" t="s">
        <v>39</v>
      </c>
      <c r="G28" s="178" t="s">
        <v>167</v>
      </c>
      <c r="H28" s="160" t="s">
        <v>7</v>
      </c>
      <c r="I28" s="158" t="s">
        <v>8</v>
      </c>
      <c r="J28" s="158" t="s">
        <v>9</v>
      </c>
      <c r="K28" s="161" t="s">
        <v>10</v>
      </c>
      <c r="L28" s="162" t="s">
        <v>391</v>
      </c>
      <c r="M28" s="158" t="s">
        <v>277</v>
      </c>
      <c r="N28" s="158" t="s">
        <v>262</v>
      </c>
      <c r="O28" s="158" t="s">
        <v>263</v>
      </c>
      <c r="P28" s="158" t="s">
        <v>264</v>
      </c>
      <c r="Q28" s="158" t="s">
        <v>265</v>
      </c>
      <c r="R28" s="158" t="s">
        <v>266</v>
      </c>
      <c r="S28" s="158" t="s">
        <v>267</v>
      </c>
      <c r="T28" s="158" t="s">
        <v>268</v>
      </c>
      <c r="U28" s="158" t="s">
        <v>269</v>
      </c>
      <c r="V28" s="158" t="s">
        <v>270</v>
      </c>
      <c r="W28" s="80" t="s">
        <v>271</v>
      </c>
      <c r="X28" s="80" t="s">
        <v>272</v>
      </c>
    </row>
    <row r="29" spans="1:25" x14ac:dyDescent="0.2">
      <c r="A29" s="307"/>
      <c r="B29" s="308">
        <v>1</v>
      </c>
      <c r="C29" s="289">
        <f>IF(AND(NOT(COUNTA(D29:E29)),(NOT(COUNTA(H29:K29))),(NOT(COUNTA(M29:X29)))),"",VLOOKUP($D$7,Info_County_Code,2,FALSE))</f>
        <v>10</v>
      </c>
      <c r="D29" s="302"/>
      <c r="E29" s="309"/>
      <c r="F29" s="310" t="s">
        <v>140</v>
      </c>
      <c r="G29" s="240">
        <f>SUM(H29:K29,L29)</f>
        <v>147863.46</v>
      </c>
      <c r="H29" s="248"/>
      <c r="I29" s="245"/>
      <c r="J29" s="245"/>
      <c r="K29" s="267"/>
      <c r="L29" s="244">
        <f>SUM(M29,N29:X29)</f>
        <v>147863.46</v>
      </c>
      <c r="M29" s="38">
        <v>46868.71</v>
      </c>
      <c r="N29" s="245"/>
      <c r="O29" s="245"/>
      <c r="P29" s="245"/>
      <c r="Q29" s="245"/>
      <c r="R29" s="245"/>
      <c r="S29" s="245"/>
      <c r="T29" s="245"/>
      <c r="U29" s="245">
        <f>147863.46-46868.71</f>
        <v>100994.75</v>
      </c>
      <c r="V29" s="245"/>
      <c r="W29" s="245"/>
      <c r="X29" s="245"/>
    </row>
    <row r="30" spans="1:25" x14ac:dyDescent="0.2">
      <c r="A30" s="227"/>
      <c r="B30" s="219">
        <v>2</v>
      </c>
      <c r="C30" s="289">
        <f>IF(AND(NOT(COUNTA(D30:E30)),(NOT(COUNTA(H30:K30))),(NOT(COUNTA(M30:X30)))),"",VLOOKUP($D$7,Info_County_Code,2,FALSE))</f>
        <v>10</v>
      </c>
      <c r="D30" s="302"/>
      <c r="E30" s="309"/>
      <c r="F30" s="310" t="s">
        <v>141</v>
      </c>
      <c r="G30" s="240">
        <f>SUM(H30:K30,L30)</f>
        <v>80708.63</v>
      </c>
      <c r="H30" s="248"/>
      <c r="I30" s="242"/>
      <c r="J30" s="242"/>
      <c r="K30" s="243"/>
      <c r="L30" s="244">
        <f>SUM(M30,N30:X30)</f>
        <v>80708.63</v>
      </c>
      <c r="M30" s="242"/>
      <c r="N30" s="242"/>
      <c r="O30" s="242"/>
      <c r="P30" s="242"/>
      <c r="Q30" s="242"/>
      <c r="R30" s="242"/>
      <c r="S30" s="242"/>
      <c r="T30" s="242"/>
      <c r="U30" s="242">
        <v>80708.63</v>
      </c>
      <c r="V30" s="242"/>
      <c r="W30" s="242"/>
      <c r="X30" s="242"/>
    </row>
    <row r="31" spans="1:25" x14ac:dyDescent="0.2">
      <c r="A31" s="227"/>
      <c r="B31" s="219">
        <v>3</v>
      </c>
      <c r="C31" s="289" t="str">
        <f>IF(AND(NOT(COUNTA(D31:E31)),(NOT(COUNTA(H31:K31))),(NOT(COUNTA(M31:X31)))),"",VLOOKUP($D$7,Info_County_Code,2,FALSE))</f>
        <v/>
      </c>
      <c r="D31" s="302"/>
      <c r="E31" s="309"/>
      <c r="F31" s="310" t="s">
        <v>142</v>
      </c>
      <c r="G31" s="240">
        <f>SUM(H31:K31,L31)</f>
        <v>0</v>
      </c>
      <c r="H31" s="248"/>
      <c r="I31" s="242"/>
      <c r="J31" s="242"/>
      <c r="K31" s="243"/>
      <c r="L31" s="244">
        <f>SUM(M31,N31:X31)</f>
        <v>0</v>
      </c>
      <c r="M31" s="242"/>
      <c r="N31" s="242"/>
      <c r="O31" s="242"/>
      <c r="P31" s="242"/>
      <c r="Q31" s="242"/>
      <c r="R31" s="242"/>
      <c r="S31" s="242"/>
      <c r="T31" s="242"/>
      <c r="U31" s="242"/>
      <c r="V31" s="242"/>
      <c r="W31" s="242"/>
      <c r="X31" s="242"/>
    </row>
    <row r="32" spans="1:25" x14ac:dyDescent="0.2">
      <c r="A32" s="227"/>
      <c r="B32" s="308">
        <v>4</v>
      </c>
      <c r="C32" s="289" t="str">
        <f>IF(AND(NOT(COUNTA(D32:E32)),(NOT(COUNTA(H32:K32))),(NOT(COUNTA(M32:X32)))),"",VLOOKUP($D$7,Info_County_Code,2,FALSE))</f>
        <v/>
      </c>
      <c r="D32" s="302"/>
      <c r="E32" s="309"/>
      <c r="F32" s="310" t="s">
        <v>143</v>
      </c>
      <c r="G32" s="240">
        <f>SUM(H32:K32,L32)</f>
        <v>0</v>
      </c>
      <c r="H32" s="248"/>
      <c r="I32" s="242"/>
      <c r="J32" s="242"/>
      <c r="K32" s="243"/>
      <c r="L32" s="244">
        <f>SUM(M32,N32:X32)</f>
        <v>0</v>
      </c>
      <c r="M32" s="242"/>
      <c r="N32" s="242"/>
      <c r="O32" s="242"/>
      <c r="P32" s="242"/>
      <c r="Q32" s="242"/>
      <c r="R32" s="242"/>
      <c r="S32" s="242"/>
      <c r="T32" s="242"/>
      <c r="U32" s="242"/>
      <c r="V32" s="242"/>
      <c r="W32" s="242"/>
      <c r="X32" s="242"/>
    </row>
    <row r="33" spans="1:24" x14ac:dyDescent="0.2">
      <c r="A33" s="227"/>
      <c r="B33" s="219">
        <v>5</v>
      </c>
      <c r="C33" s="289">
        <f>IF(AND(NOT(COUNTA(D33:E33)),(NOT(COUNTA(H33:K33))),(NOT(COUNTA(M33:X33)))),"",VLOOKUP($D$7,Info_County_Code,2,FALSE))</f>
        <v>10</v>
      </c>
      <c r="D33" s="302"/>
      <c r="E33" s="309"/>
      <c r="F33" s="310" t="s">
        <v>144</v>
      </c>
      <c r="G33" s="240">
        <f>SUM(H33:K33,L33)</f>
        <v>62899.98</v>
      </c>
      <c r="H33" s="248"/>
      <c r="I33" s="242"/>
      <c r="J33" s="242"/>
      <c r="K33" s="243"/>
      <c r="L33" s="244">
        <f>SUM(M33,N33:X33)</f>
        <v>62899.98</v>
      </c>
      <c r="M33" s="242"/>
      <c r="N33" s="242"/>
      <c r="O33" s="242"/>
      <c r="P33" s="242"/>
      <c r="Q33" s="242"/>
      <c r="R33" s="242"/>
      <c r="S33" s="242"/>
      <c r="T33" s="242"/>
      <c r="U33" s="242">
        <v>62899.98</v>
      </c>
      <c r="V33" s="242"/>
      <c r="W33" s="242"/>
      <c r="X33" s="242"/>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U30" sqref="U30"/>
    </sheetView>
  </sheetViews>
  <sheetFormatPr defaultColWidth="0" defaultRowHeight="15" zeroHeight="1" x14ac:dyDescent="0.2"/>
  <cols>
    <col min="1" max="1" width="2.7109375" style="227" customWidth="1"/>
    <col min="2" max="2" width="6.7109375" style="227" customWidth="1"/>
    <col min="3" max="3" width="10.140625" style="227" bestFit="1" customWidth="1"/>
    <col min="4" max="5" width="17.7109375" style="227" customWidth="1"/>
    <col min="6" max="6" width="21.28515625" style="227" customWidth="1"/>
    <col min="7" max="7" width="20.140625" style="227" customWidth="1"/>
    <col min="8" max="8" width="21.5703125" style="227" customWidth="1"/>
    <col min="9" max="9" width="20.28515625" style="227" customWidth="1"/>
    <col min="10" max="10" width="17.7109375" style="227" customWidth="1"/>
    <col min="11" max="11" width="21.5703125" style="227" customWidth="1"/>
    <col min="12" max="12" width="17.7109375" style="227" customWidth="1"/>
    <col min="13" max="13" width="18.85546875" style="227" customWidth="1"/>
    <col min="14" max="14" width="17.5703125" style="227" customWidth="1"/>
    <col min="15" max="15" width="18.28515625" style="227" customWidth="1"/>
    <col min="16" max="16" width="18.7109375" style="227" customWidth="1"/>
    <col min="17" max="18" width="19" style="227" customWidth="1"/>
    <col min="19" max="20" width="18.42578125" style="227" customWidth="1"/>
    <col min="21" max="22" width="18.28515625" style="227" customWidth="1"/>
    <col min="23" max="23" width="18.140625" style="227" customWidth="1"/>
    <col min="24" max="24" width="18.42578125" style="227" customWidth="1"/>
    <col min="25" max="25" width="16.5703125" style="227" hidden="1" customWidth="1"/>
    <col min="26" max="27" width="22.140625" style="227" hidden="1" customWidth="1"/>
    <col min="28" max="16384" width="9.140625" style="227" hidden="1"/>
  </cols>
  <sheetData>
    <row r="1" spans="2:23" x14ac:dyDescent="0.2">
      <c r="B1" s="458" t="s">
        <v>332</v>
      </c>
      <c r="C1" s="458"/>
      <c r="D1" s="458"/>
    </row>
    <row r="2" spans="2:23" x14ac:dyDescent="0.2">
      <c r="B2" s="209"/>
      <c r="C2" s="209"/>
      <c r="D2" s="209"/>
    </row>
    <row r="3" spans="2:23" ht="18" x14ac:dyDescent="0.2">
      <c r="B3" s="397" t="s">
        <v>375</v>
      </c>
      <c r="C3" s="1"/>
      <c r="D3" s="1"/>
      <c r="E3" s="1"/>
      <c r="F3" s="1"/>
      <c r="G3" s="1"/>
      <c r="H3" s="1"/>
    </row>
    <row r="4" spans="2:23" ht="18" x14ac:dyDescent="0.2">
      <c r="B4" s="397" t="s">
        <v>0</v>
      </c>
      <c r="C4" s="1"/>
      <c r="D4" s="1"/>
      <c r="E4" s="1"/>
      <c r="F4" s="1"/>
      <c r="G4" s="1"/>
      <c r="H4" s="1"/>
    </row>
    <row r="5" spans="2:23" ht="18" x14ac:dyDescent="0.2">
      <c r="B5" s="397" t="s">
        <v>183</v>
      </c>
      <c r="C5" s="1"/>
      <c r="D5" s="1"/>
      <c r="E5" s="1"/>
      <c r="F5" s="1"/>
      <c r="G5" s="1"/>
      <c r="H5" s="1"/>
    </row>
    <row r="6" spans="2:23" ht="15.75" x14ac:dyDescent="0.2">
      <c r="D6" s="167"/>
      <c r="E6" s="167"/>
      <c r="F6" s="167"/>
      <c r="G6" s="167"/>
      <c r="H6" s="167"/>
    </row>
    <row r="7" spans="2:23" ht="15.75" x14ac:dyDescent="0.25">
      <c r="B7" s="206" t="s">
        <v>2</v>
      </c>
      <c r="C7" s="311"/>
      <c r="D7" s="90" t="str">
        <f>IF(ISBLANK('1. Information'!D6),"",'1. Information'!D6)</f>
        <v>Fresno</v>
      </c>
      <c r="E7" s="63"/>
      <c r="F7" s="206" t="s">
        <v>3</v>
      </c>
      <c r="G7" s="228">
        <f>IF(ISBLANK('1. Information'!D5),"",'1. Information'!D5)</f>
        <v>43223</v>
      </c>
    </row>
    <row r="8" spans="2:23" ht="15.75" x14ac:dyDescent="0.25">
      <c r="C8" s="7"/>
      <c r="E8" s="7"/>
      <c r="F8" s="63"/>
      <c r="G8" s="7"/>
      <c r="H8" s="230"/>
    </row>
    <row r="9" spans="2:23" ht="18.75" thickBot="1" x14ac:dyDescent="0.3">
      <c r="B9" s="398" t="s">
        <v>385</v>
      </c>
      <c r="C9" s="141"/>
      <c r="D9" s="231"/>
      <c r="E9" s="141"/>
      <c r="F9" s="168"/>
      <c r="G9" s="141"/>
      <c r="H9" s="232"/>
      <c r="I9" s="231"/>
      <c r="J9" s="231"/>
      <c r="K9" s="231"/>
      <c r="L9" s="231"/>
      <c r="M9" s="231"/>
      <c r="N9" s="231"/>
      <c r="O9" s="231"/>
      <c r="P9" s="231"/>
      <c r="Q9" s="231"/>
      <c r="R9" s="231"/>
      <c r="S9" s="231"/>
      <c r="T9" s="231"/>
      <c r="U9" s="231"/>
      <c r="V9" s="231"/>
      <c r="W9" s="231"/>
    </row>
    <row r="10" spans="2:23" ht="16.5" thickTop="1" x14ac:dyDescent="0.25">
      <c r="B10" s="7"/>
      <c r="C10" s="7"/>
      <c r="E10" s="7"/>
      <c r="F10" s="63"/>
      <c r="G10" s="7"/>
      <c r="H10" s="230"/>
    </row>
    <row r="11" spans="2:23" ht="15.75" x14ac:dyDescent="0.25">
      <c r="C11" s="7"/>
      <c r="E11" s="7"/>
      <c r="F11" s="125" t="s">
        <v>59</v>
      </c>
      <c r="G11" s="142" t="s">
        <v>61</v>
      </c>
      <c r="H11" s="235" t="s">
        <v>65</v>
      </c>
      <c r="I11" s="219" t="s">
        <v>350</v>
      </c>
      <c r="J11" s="234" t="s">
        <v>351</v>
      </c>
      <c r="K11" s="259" t="s">
        <v>352</v>
      </c>
      <c r="L11" s="219" t="s">
        <v>361</v>
      </c>
      <c r="M11" s="219" t="s">
        <v>353</v>
      </c>
      <c r="N11" s="219" t="s">
        <v>354</v>
      </c>
      <c r="O11" s="219" t="s">
        <v>355</v>
      </c>
      <c r="P11" s="219" t="s">
        <v>356</v>
      </c>
      <c r="Q11" s="219" t="s">
        <v>357</v>
      </c>
      <c r="R11" s="219" t="s">
        <v>358</v>
      </c>
      <c r="S11" s="219" t="s">
        <v>359</v>
      </c>
      <c r="T11" s="219" t="s">
        <v>360</v>
      </c>
      <c r="U11" s="219" t="s">
        <v>362</v>
      </c>
      <c r="V11" s="219" t="s">
        <v>364</v>
      </c>
      <c r="W11" s="219" t="s">
        <v>365</v>
      </c>
    </row>
    <row r="12" spans="2:23" ht="15.75" x14ac:dyDescent="0.25">
      <c r="E12" s="7"/>
      <c r="F12" s="188"/>
      <c r="G12" s="454" t="s">
        <v>304</v>
      </c>
      <c r="H12" s="449"/>
      <c r="I12" s="449"/>
      <c r="J12" s="455"/>
      <c r="K12" s="463" t="s">
        <v>60</v>
      </c>
      <c r="L12" s="464"/>
      <c r="M12" s="464"/>
      <c r="N12" s="464"/>
      <c r="O12" s="464"/>
      <c r="P12" s="464"/>
      <c r="Q12" s="464"/>
      <c r="R12" s="464"/>
      <c r="S12" s="464"/>
      <c r="T12" s="464"/>
      <c r="U12" s="464"/>
      <c r="V12" s="464"/>
      <c r="W12" s="464"/>
    </row>
    <row r="13" spans="2:23" ht="47.25" x14ac:dyDescent="0.25">
      <c r="D13" s="7"/>
      <c r="E13" s="63"/>
      <c r="F13" s="127" t="s">
        <v>279</v>
      </c>
      <c r="G13" s="113" t="s">
        <v>7</v>
      </c>
      <c r="H13" s="76" t="s">
        <v>8</v>
      </c>
      <c r="I13" s="76" t="s">
        <v>63</v>
      </c>
      <c r="J13" s="119" t="s">
        <v>10</v>
      </c>
      <c r="K13" s="128" t="s">
        <v>250</v>
      </c>
      <c r="L13" s="76" t="s">
        <v>277</v>
      </c>
      <c r="M13" s="80" t="s">
        <v>251</v>
      </c>
      <c r="N13" s="80" t="s">
        <v>252</v>
      </c>
      <c r="O13" s="81" t="s">
        <v>253</v>
      </c>
      <c r="P13" s="81" t="s">
        <v>254</v>
      </c>
      <c r="Q13" s="81" t="s">
        <v>255</v>
      </c>
      <c r="R13" s="80" t="s">
        <v>256</v>
      </c>
      <c r="S13" s="80" t="s">
        <v>257</v>
      </c>
      <c r="T13" s="80" t="s">
        <v>258</v>
      </c>
      <c r="U13" s="80" t="s">
        <v>259</v>
      </c>
      <c r="V13" s="80" t="s">
        <v>260</v>
      </c>
      <c r="W13" s="80" t="s">
        <v>261</v>
      </c>
    </row>
    <row r="14" spans="2:23" ht="15.75" x14ac:dyDescent="0.25">
      <c r="B14" s="219">
        <v>1</v>
      </c>
      <c r="C14" s="456" t="s">
        <v>246</v>
      </c>
      <c r="D14" s="456"/>
      <c r="E14" s="456"/>
      <c r="F14" s="240">
        <f t="shared" ref="F14:F20" si="0">SUM(G14:J14,K14)</f>
        <v>0</v>
      </c>
      <c r="G14" s="304"/>
      <c r="H14" s="305"/>
      <c r="I14" s="305"/>
      <c r="J14" s="306"/>
      <c r="K14" s="244">
        <f>SUM(L14,M14:W14)</f>
        <v>0</v>
      </c>
      <c r="L14" s="305"/>
      <c r="M14" s="242"/>
      <c r="N14" s="242"/>
      <c r="O14" s="242"/>
      <c r="P14" s="242"/>
      <c r="Q14" s="242"/>
      <c r="R14" s="242"/>
      <c r="S14" s="242"/>
      <c r="T14" s="242"/>
      <c r="U14" s="242"/>
      <c r="V14" s="242"/>
      <c r="W14" s="242"/>
    </row>
    <row r="15" spans="2:23" ht="15.75" x14ac:dyDescent="0.25">
      <c r="B15" s="219">
        <v>2</v>
      </c>
      <c r="C15" s="456" t="s">
        <v>245</v>
      </c>
      <c r="D15" s="456"/>
      <c r="E15" s="456"/>
      <c r="F15" s="240">
        <f t="shared" si="0"/>
        <v>0</v>
      </c>
      <c r="G15" s="304"/>
      <c r="H15" s="305"/>
      <c r="I15" s="305"/>
      <c r="J15" s="306"/>
      <c r="K15" s="244">
        <f t="shared" ref="K15:K20" si="1">SUM(L15,M15:W15)</f>
        <v>0</v>
      </c>
      <c r="L15" s="305"/>
      <c r="M15" s="242"/>
      <c r="N15" s="242"/>
      <c r="O15" s="242"/>
      <c r="P15" s="242"/>
      <c r="Q15" s="242"/>
      <c r="R15" s="242"/>
      <c r="S15" s="242"/>
      <c r="T15" s="242"/>
      <c r="U15" s="242"/>
      <c r="V15" s="242"/>
      <c r="W15" s="242"/>
    </row>
    <row r="16" spans="2:23" ht="15.75" x14ac:dyDescent="0.25">
      <c r="B16" s="219">
        <v>3</v>
      </c>
      <c r="C16" s="456" t="s">
        <v>159</v>
      </c>
      <c r="D16" s="456"/>
      <c r="E16" s="456"/>
      <c r="F16" s="240">
        <f t="shared" si="0"/>
        <v>0</v>
      </c>
      <c r="G16" s="304"/>
      <c r="H16" s="305"/>
      <c r="I16" s="305"/>
      <c r="J16" s="306"/>
      <c r="K16" s="244">
        <f t="shared" si="1"/>
        <v>0</v>
      </c>
      <c r="L16" s="305"/>
      <c r="M16" s="242"/>
      <c r="N16" s="242"/>
      <c r="O16" s="242"/>
      <c r="P16" s="242"/>
      <c r="Q16" s="242"/>
      <c r="R16" s="242"/>
      <c r="S16" s="242"/>
      <c r="T16" s="242"/>
      <c r="U16" s="242"/>
      <c r="V16" s="242"/>
      <c r="W16" s="242"/>
    </row>
    <row r="17" spans="2:24" ht="15.75" x14ac:dyDescent="0.25">
      <c r="B17" s="219">
        <v>4</v>
      </c>
      <c r="C17" s="456" t="s">
        <v>158</v>
      </c>
      <c r="D17" s="456"/>
      <c r="E17" s="456"/>
      <c r="F17" s="240">
        <f t="shared" si="0"/>
        <v>0</v>
      </c>
      <c r="G17" s="304"/>
      <c r="H17" s="305"/>
      <c r="I17" s="305"/>
      <c r="J17" s="306"/>
      <c r="K17" s="244">
        <f t="shared" si="1"/>
        <v>0</v>
      </c>
      <c r="L17" s="305"/>
      <c r="M17" s="242"/>
      <c r="N17" s="242"/>
      <c r="O17" s="242"/>
      <c r="P17" s="242"/>
      <c r="Q17" s="242"/>
      <c r="R17" s="242"/>
      <c r="S17" s="242"/>
      <c r="T17" s="242"/>
      <c r="U17" s="242"/>
      <c r="V17" s="242"/>
      <c r="W17" s="242"/>
    </row>
    <row r="18" spans="2:24" ht="15.75" x14ac:dyDescent="0.25">
      <c r="B18" s="219">
        <v>5</v>
      </c>
      <c r="C18" s="456" t="s">
        <v>341</v>
      </c>
      <c r="D18" s="456"/>
      <c r="E18" s="456"/>
      <c r="F18" s="240">
        <f t="shared" si="0"/>
        <v>0</v>
      </c>
      <c r="G18" s="304"/>
      <c r="H18" s="305"/>
      <c r="I18" s="305"/>
      <c r="J18" s="306"/>
      <c r="K18" s="244">
        <f t="shared" si="1"/>
        <v>0</v>
      </c>
      <c r="L18" s="305"/>
      <c r="M18" s="242"/>
      <c r="N18" s="242"/>
      <c r="O18" s="242"/>
      <c r="P18" s="242"/>
      <c r="Q18" s="242"/>
      <c r="R18" s="242"/>
      <c r="S18" s="242"/>
      <c r="T18" s="242"/>
      <c r="U18" s="242"/>
      <c r="V18" s="242"/>
      <c r="W18" s="242"/>
    </row>
    <row r="19" spans="2:24" ht="15.75" x14ac:dyDescent="0.25">
      <c r="B19" s="219">
        <v>6</v>
      </c>
      <c r="C19" s="456" t="s">
        <v>342</v>
      </c>
      <c r="D19" s="456"/>
      <c r="E19" s="456"/>
      <c r="F19" s="240">
        <f t="shared" si="0"/>
        <v>0</v>
      </c>
      <c r="G19" s="304"/>
      <c r="H19" s="305"/>
      <c r="I19" s="305"/>
      <c r="J19" s="306"/>
      <c r="K19" s="244">
        <f t="shared" si="1"/>
        <v>0</v>
      </c>
      <c r="L19" s="305"/>
      <c r="M19" s="242"/>
      <c r="N19" s="242"/>
      <c r="O19" s="242"/>
      <c r="P19" s="242"/>
      <c r="Q19" s="242"/>
      <c r="R19" s="242"/>
      <c r="S19" s="242"/>
      <c r="T19" s="242"/>
      <c r="U19" s="242"/>
      <c r="V19" s="242"/>
      <c r="W19" s="242"/>
    </row>
    <row r="20" spans="2:24" ht="15.75" x14ac:dyDescent="0.25">
      <c r="B20" s="219">
        <v>7</v>
      </c>
      <c r="C20" s="456" t="s">
        <v>230</v>
      </c>
      <c r="D20" s="456"/>
      <c r="E20" s="456"/>
      <c r="F20" s="240">
        <f t="shared" si="0"/>
        <v>4449418.84</v>
      </c>
      <c r="G20" s="249">
        <f>SUM(H29:H48)</f>
        <v>0</v>
      </c>
      <c r="H20" s="250">
        <f>SUM(I29:I48)</f>
        <v>0</v>
      </c>
      <c r="I20" s="250">
        <f>SUM(J29:J48)</f>
        <v>0</v>
      </c>
      <c r="J20" s="251">
        <f>SUM(K29:K48)</f>
        <v>0</v>
      </c>
      <c r="K20" s="246">
        <f t="shared" si="1"/>
        <v>4449418.84</v>
      </c>
      <c r="L20" s="250">
        <f t="shared" ref="L20:W20" si="2">SUM(M29:M48)</f>
        <v>100174.58</v>
      </c>
      <c r="M20" s="250">
        <f t="shared" si="2"/>
        <v>0</v>
      </c>
      <c r="N20" s="250">
        <f t="shared" si="2"/>
        <v>0</v>
      </c>
      <c r="O20" s="250">
        <f t="shared" si="2"/>
        <v>0</v>
      </c>
      <c r="P20" s="250">
        <f t="shared" si="2"/>
        <v>0</v>
      </c>
      <c r="Q20" s="250">
        <f t="shared" si="2"/>
        <v>0</v>
      </c>
      <c r="R20" s="250">
        <f t="shared" si="2"/>
        <v>0</v>
      </c>
      <c r="S20" s="250">
        <f t="shared" si="2"/>
        <v>0</v>
      </c>
      <c r="T20" s="250">
        <f t="shared" si="2"/>
        <v>1376946.26</v>
      </c>
      <c r="U20" s="250">
        <f t="shared" si="2"/>
        <v>2972298</v>
      </c>
      <c r="V20" s="250">
        <f t="shared" si="2"/>
        <v>0</v>
      </c>
      <c r="W20" s="250">
        <f t="shared" si="2"/>
        <v>0</v>
      </c>
    </row>
    <row r="21" spans="2:24" ht="30.95" customHeight="1" x14ac:dyDescent="0.25">
      <c r="B21" s="219">
        <v>8</v>
      </c>
      <c r="C21" s="453" t="s">
        <v>38</v>
      </c>
      <c r="D21" s="453"/>
      <c r="E21" s="453"/>
      <c r="F21" s="110">
        <f t="shared" ref="F21:W21" si="3">SUM(F14:F20)</f>
        <v>4449418.84</v>
      </c>
      <c r="G21" s="108">
        <f>SUM(G14:G20)</f>
        <v>0</v>
      </c>
      <c r="H21" s="52">
        <f t="shared" si="3"/>
        <v>0</v>
      </c>
      <c r="I21" s="52">
        <f t="shared" si="3"/>
        <v>0</v>
      </c>
      <c r="J21" s="110">
        <f t="shared" si="3"/>
        <v>0</v>
      </c>
      <c r="K21" s="108">
        <f t="shared" si="3"/>
        <v>4449418.84</v>
      </c>
      <c r="L21" s="52">
        <f t="shared" si="3"/>
        <v>100174.58</v>
      </c>
      <c r="M21" s="52">
        <f t="shared" si="3"/>
        <v>0</v>
      </c>
      <c r="N21" s="52">
        <f t="shared" si="3"/>
        <v>0</v>
      </c>
      <c r="O21" s="52">
        <f t="shared" si="3"/>
        <v>0</v>
      </c>
      <c r="P21" s="52">
        <f t="shared" si="3"/>
        <v>0</v>
      </c>
      <c r="Q21" s="52">
        <f t="shared" si="3"/>
        <v>0</v>
      </c>
      <c r="R21" s="52">
        <f t="shared" si="3"/>
        <v>0</v>
      </c>
      <c r="S21" s="52">
        <f t="shared" si="3"/>
        <v>0</v>
      </c>
      <c r="T21" s="52">
        <f t="shared" si="3"/>
        <v>1376946.26</v>
      </c>
      <c r="U21" s="52">
        <f t="shared" si="3"/>
        <v>2972298</v>
      </c>
      <c r="V21" s="52">
        <f t="shared" si="3"/>
        <v>0</v>
      </c>
      <c r="W21" s="52">
        <f t="shared" si="3"/>
        <v>0</v>
      </c>
    </row>
    <row r="22" spans="2:24" ht="30.95" customHeight="1" x14ac:dyDescent="0.25">
      <c r="B22" s="219">
        <v>9</v>
      </c>
      <c r="C22" s="487" t="s">
        <v>317</v>
      </c>
      <c r="D22" s="487"/>
      <c r="E22" s="487"/>
      <c r="F22" s="110"/>
      <c r="G22" s="108"/>
      <c r="H22" s="52"/>
      <c r="I22" s="52"/>
      <c r="J22" s="110"/>
      <c r="K22" s="108">
        <f>SUM(L22,M22:W22)</f>
        <v>6342968.5800000001</v>
      </c>
      <c r="L22" s="52">
        <f>'2. Component Summary'!H27+'2. Component Summary'!H32</f>
        <v>100174.58</v>
      </c>
      <c r="M22" s="52">
        <f>'2. Component Summary'!H30+'2. Component Summary'!H31</f>
        <v>0</v>
      </c>
      <c r="N22" s="52">
        <f>'2. Component Summary'!H26</f>
        <v>0</v>
      </c>
      <c r="O22" s="52">
        <f>'2. Component Summary'!H25</f>
        <v>0</v>
      </c>
      <c r="P22" s="52">
        <f>'2. Component Summary'!H24</f>
        <v>0</v>
      </c>
      <c r="Q22" s="52">
        <f>'2. Component Summary'!H23</f>
        <v>0</v>
      </c>
      <c r="R22" s="52">
        <f>'2. Component Summary'!H22</f>
        <v>0</v>
      </c>
      <c r="S22" s="52">
        <f>'2. Component Summary'!H21</f>
        <v>0</v>
      </c>
      <c r="T22" s="52">
        <f>'2. Component Summary'!H20</f>
        <v>3270496</v>
      </c>
      <c r="U22" s="52">
        <f>'2. Component Summary'!H19</f>
        <v>2972298</v>
      </c>
      <c r="V22" s="52">
        <f>'2. Component Summary'!H18</f>
        <v>0</v>
      </c>
      <c r="W22" s="52">
        <f>'2. Component Summary'!H17</f>
        <v>0</v>
      </c>
    </row>
    <row r="23" spans="2:24" s="217" customFormat="1" x14ac:dyDescent="0.2"/>
    <row r="24" spans="2:24" ht="18.75" thickBot="1" x14ac:dyDescent="0.3">
      <c r="B24" s="404" t="s">
        <v>386</v>
      </c>
      <c r="C24" s="231"/>
      <c r="D24" s="189"/>
      <c r="E24" s="189"/>
      <c r="F24" s="189"/>
      <c r="G24" s="189"/>
      <c r="H24" s="233"/>
      <c r="I24" s="231"/>
      <c r="J24" s="231"/>
      <c r="K24" s="231"/>
      <c r="L24" s="231"/>
      <c r="M24" s="231"/>
      <c r="N24" s="231"/>
      <c r="O24" s="231"/>
      <c r="P24" s="231"/>
      <c r="Q24" s="231"/>
      <c r="R24" s="231"/>
      <c r="S24" s="231"/>
      <c r="T24" s="231"/>
      <c r="U24" s="231"/>
      <c r="V24" s="231"/>
      <c r="W24" s="231"/>
      <c r="X24" s="231"/>
    </row>
    <row r="25" spans="2:24" ht="16.5" thickTop="1" x14ac:dyDescent="0.25">
      <c r="C25" s="14"/>
      <c r="D25" s="14"/>
      <c r="E25" s="14"/>
      <c r="F25" s="14"/>
      <c r="G25" s="229"/>
    </row>
    <row r="26" spans="2:24" x14ac:dyDescent="0.2">
      <c r="C26" s="73" t="s">
        <v>59</v>
      </c>
      <c r="D26" s="73" t="s">
        <v>61</v>
      </c>
      <c r="E26" s="73" t="s">
        <v>65</v>
      </c>
      <c r="F26" s="73" t="s">
        <v>350</v>
      </c>
      <c r="G26" s="257" t="s">
        <v>351</v>
      </c>
      <c r="H26" s="259" t="s">
        <v>352</v>
      </c>
      <c r="I26" s="219" t="s">
        <v>361</v>
      </c>
      <c r="J26" s="219" t="s">
        <v>353</v>
      </c>
      <c r="K26" s="234" t="s">
        <v>354</v>
      </c>
      <c r="L26" s="259" t="s">
        <v>355</v>
      </c>
      <c r="M26" s="219" t="s">
        <v>356</v>
      </c>
      <c r="N26" s="219" t="s">
        <v>357</v>
      </c>
      <c r="O26" s="219" t="s">
        <v>358</v>
      </c>
      <c r="P26" s="219" t="s">
        <v>359</v>
      </c>
      <c r="Q26" s="219" t="s">
        <v>360</v>
      </c>
      <c r="R26" s="219" t="s">
        <v>362</v>
      </c>
      <c r="S26" s="219" t="s">
        <v>364</v>
      </c>
      <c r="T26" s="219" t="s">
        <v>365</v>
      </c>
      <c r="U26" s="219" t="s">
        <v>366</v>
      </c>
      <c r="V26" s="219" t="s">
        <v>367</v>
      </c>
      <c r="W26" s="219" t="s">
        <v>369</v>
      </c>
      <c r="X26" s="219" t="s">
        <v>370</v>
      </c>
    </row>
    <row r="27" spans="2:24" ht="15" customHeight="1" x14ac:dyDescent="0.25">
      <c r="B27" s="75"/>
      <c r="C27" s="464" t="s">
        <v>318</v>
      </c>
      <c r="D27" s="464"/>
      <c r="E27" s="464"/>
      <c r="F27" s="464"/>
      <c r="G27" s="497"/>
      <c r="H27" s="503" t="s">
        <v>304</v>
      </c>
      <c r="I27" s="490"/>
      <c r="J27" s="490"/>
      <c r="K27" s="504"/>
      <c r="L27" s="503" t="s">
        <v>305</v>
      </c>
      <c r="M27" s="490"/>
      <c r="N27" s="490"/>
      <c r="O27" s="490"/>
      <c r="P27" s="490"/>
      <c r="Q27" s="490"/>
      <c r="R27" s="490"/>
      <c r="S27" s="490"/>
      <c r="T27" s="490"/>
      <c r="U27" s="490"/>
      <c r="V27" s="490"/>
      <c r="W27" s="490"/>
      <c r="X27" s="490"/>
    </row>
    <row r="28" spans="2:24" ht="69" customHeight="1" x14ac:dyDescent="0.2">
      <c r="B28" s="144" t="s">
        <v>177</v>
      </c>
      <c r="C28" s="144" t="s">
        <v>20</v>
      </c>
      <c r="D28" s="81" t="s">
        <v>22</v>
      </c>
      <c r="E28" s="81" t="s">
        <v>36</v>
      </c>
      <c r="F28" s="81" t="s">
        <v>37</v>
      </c>
      <c r="G28" s="178" t="s">
        <v>160</v>
      </c>
      <c r="H28" s="160" t="s">
        <v>7</v>
      </c>
      <c r="I28" s="158" t="s">
        <v>8</v>
      </c>
      <c r="J28" s="158" t="s">
        <v>9</v>
      </c>
      <c r="K28" s="161" t="s">
        <v>10</v>
      </c>
      <c r="L28" s="162" t="s">
        <v>250</v>
      </c>
      <c r="M28" s="158" t="s">
        <v>277</v>
      </c>
      <c r="N28" s="158" t="s">
        <v>251</v>
      </c>
      <c r="O28" s="158" t="s">
        <v>252</v>
      </c>
      <c r="P28" s="158" t="s">
        <v>253</v>
      </c>
      <c r="Q28" s="158" t="s">
        <v>254</v>
      </c>
      <c r="R28" s="158" t="s">
        <v>255</v>
      </c>
      <c r="S28" s="158" t="s">
        <v>256</v>
      </c>
      <c r="T28" s="158" t="s">
        <v>257</v>
      </c>
      <c r="U28" s="158" t="s">
        <v>258</v>
      </c>
      <c r="V28" s="158" t="s">
        <v>259</v>
      </c>
      <c r="W28" s="80" t="s">
        <v>260</v>
      </c>
      <c r="X28" s="80" t="s">
        <v>261</v>
      </c>
    </row>
    <row r="29" spans="2:24" x14ac:dyDescent="0.2">
      <c r="B29" s="219">
        <v>1</v>
      </c>
      <c r="C29" s="289">
        <f t="shared" ref="C29:C48" si="4">IF(AND(NOT(COUNTA(D29:F29)),(NOT(COUNTA(H29:K29))),(NOT(COUNTA(M29:X29)))),"",VLOOKUP($D$7,Info_County_Code,2,FALSE))</f>
        <v>10</v>
      </c>
      <c r="D29" s="436" t="s">
        <v>431</v>
      </c>
      <c r="E29" s="226"/>
      <c r="F29" s="263" t="s">
        <v>231</v>
      </c>
      <c r="G29" s="265">
        <f t="shared" ref="G29:G48" si="5">SUM(H29:K29,L29)</f>
        <v>3515704.14</v>
      </c>
      <c r="H29" s="266"/>
      <c r="I29" s="245"/>
      <c r="J29" s="245"/>
      <c r="K29" s="267"/>
      <c r="L29" s="244">
        <f>SUM(M29,N29:X29)</f>
        <v>3515704.14</v>
      </c>
      <c r="M29" s="38">
        <v>100174.58</v>
      </c>
      <c r="N29" s="245"/>
      <c r="O29" s="245"/>
      <c r="P29" s="245"/>
      <c r="Q29" s="245"/>
      <c r="R29" s="245"/>
      <c r="S29" s="245"/>
      <c r="T29" s="245"/>
      <c r="U29" s="432">
        <f>4151.74+3511552.4-2972298-100174.58</f>
        <v>443231.56000000011</v>
      </c>
      <c r="V29" s="432">
        <v>2972298</v>
      </c>
      <c r="W29" s="245"/>
      <c r="X29" s="245"/>
    </row>
    <row r="30" spans="2:24" x14ac:dyDescent="0.2">
      <c r="B30" s="219">
        <v>2</v>
      </c>
      <c r="C30" s="289">
        <f t="shared" si="4"/>
        <v>10</v>
      </c>
      <c r="D30" s="437" t="s">
        <v>432</v>
      </c>
      <c r="E30" s="263"/>
      <c r="F30" s="263" t="s">
        <v>232</v>
      </c>
      <c r="G30" s="265">
        <f t="shared" si="5"/>
        <v>933714.7</v>
      </c>
      <c r="H30" s="248"/>
      <c r="I30" s="242"/>
      <c r="J30" s="242"/>
      <c r="K30" s="243"/>
      <c r="L30" s="244">
        <f t="shared" ref="L30:L48" si="6">SUM(M30,N30:X30)</f>
        <v>933714.7</v>
      </c>
      <c r="M30" s="242"/>
      <c r="N30" s="242"/>
      <c r="O30" s="242"/>
      <c r="P30" s="242"/>
      <c r="Q30" s="242"/>
      <c r="R30" s="242"/>
      <c r="S30" s="242"/>
      <c r="T30" s="242"/>
      <c r="U30" s="242">
        <v>933714.7</v>
      </c>
      <c r="V30" s="242"/>
      <c r="W30" s="242"/>
      <c r="X30" s="242"/>
    </row>
    <row r="31" spans="2:24" x14ac:dyDescent="0.2">
      <c r="B31" s="219">
        <v>3</v>
      </c>
      <c r="C31" s="289" t="str">
        <f t="shared" si="4"/>
        <v/>
      </c>
      <c r="D31" s="263"/>
      <c r="E31" s="263"/>
      <c r="F31" s="263"/>
      <c r="G31" s="265">
        <f t="shared" si="5"/>
        <v>0</v>
      </c>
      <c r="H31" s="248"/>
      <c r="I31" s="242"/>
      <c r="J31" s="242"/>
      <c r="K31" s="243"/>
      <c r="L31" s="244">
        <f t="shared" si="6"/>
        <v>0</v>
      </c>
      <c r="M31" s="242"/>
      <c r="N31" s="242"/>
      <c r="O31" s="242"/>
      <c r="P31" s="242"/>
      <c r="Q31" s="242"/>
      <c r="R31" s="242"/>
      <c r="S31" s="242"/>
      <c r="T31" s="242"/>
      <c r="U31" s="242"/>
      <c r="V31" s="242"/>
      <c r="W31" s="242"/>
      <c r="X31" s="242"/>
    </row>
    <row r="32" spans="2:24" x14ac:dyDescent="0.2">
      <c r="B32" s="219">
        <v>4</v>
      </c>
      <c r="C32" s="289" t="str">
        <f t="shared" si="4"/>
        <v/>
      </c>
      <c r="D32" s="263"/>
      <c r="E32" s="263"/>
      <c r="F32" s="263"/>
      <c r="G32" s="265">
        <f t="shared" si="5"/>
        <v>0</v>
      </c>
      <c r="H32" s="248"/>
      <c r="I32" s="242"/>
      <c r="J32" s="242"/>
      <c r="K32" s="243"/>
      <c r="L32" s="244">
        <f t="shared" si="6"/>
        <v>0</v>
      </c>
      <c r="M32" s="242"/>
      <c r="N32" s="242"/>
      <c r="O32" s="242"/>
      <c r="P32" s="242"/>
      <c r="Q32" s="242"/>
      <c r="R32" s="242"/>
      <c r="S32" s="242"/>
      <c r="T32" s="242"/>
      <c r="U32" s="242"/>
      <c r="V32" s="242"/>
      <c r="W32" s="242"/>
      <c r="X32" s="242"/>
    </row>
    <row r="33" spans="2:24" x14ac:dyDescent="0.2">
      <c r="B33" s="219">
        <v>5</v>
      </c>
      <c r="C33" s="289" t="str">
        <f t="shared" si="4"/>
        <v/>
      </c>
      <c r="D33" s="263"/>
      <c r="E33" s="263"/>
      <c r="F33" s="263"/>
      <c r="G33" s="265">
        <f t="shared" si="5"/>
        <v>0</v>
      </c>
      <c r="H33" s="248"/>
      <c r="I33" s="242"/>
      <c r="J33" s="242"/>
      <c r="K33" s="243"/>
      <c r="L33" s="244">
        <f t="shared" si="6"/>
        <v>0</v>
      </c>
      <c r="M33" s="242"/>
      <c r="N33" s="242"/>
      <c r="O33" s="242"/>
      <c r="P33" s="242"/>
      <c r="Q33" s="242"/>
      <c r="R33" s="242"/>
      <c r="S33" s="242"/>
      <c r="T33" s="242"/>
      <c r="U33" s="242"/>
      <c r="V33" s="242"/>
      <c r="W33" s="242"/>
      <c r="X33" s="242"/>
    </row>
    <row r="34" spans="2:24" x14ac:dyDescent="0.2">
      <c r="B34" s="219">
        <v>6</v>
      </c>
      <c r="C34" s="289" t="str">
        <f t="shared" si="4"/>
        <v/>
      </c>
      <c r="D34" s="263"/>
      <c r="E34" s="263"/>
      <c r="F34" s="263"/>
      <c r="G34" s="265">
        <f t="shared" si="5"/>
        <v>0</v>
      </c>
      <c r="H34" s="248"/>
      <c r="I34" s="242"/>
      <c r="J34" s="242"/>
      <c r="K34" s="243"/>
      <c r="L34" s="244">
        <f t="shared" si="6"/>
        <v>0</v>
      </c>
      <c r="M34" s="242"/>
      <c r="N34" s="242"/>
      <c r="O34" s="242"/>
      <c r="P34" s="242"/>
      <c r="Q34" s="242"/>
      <c r="R34" s="242"/>
      <c r="S34" s="242"/>
      <c r="T34" s="242"/>
      <c r="U34" s="242"/>
      <c r="V34" s="242"/>
      <c r="W34" s="242"/>
      <c r="X34" s="242"/>
    </row>
    <row r="35" spans="2:24" x14ac:dyDescent="0.2">
      <c r="B35" s="219">
        <v>7</v>
      </c>
      <c r="C35" s="289" t="str">
        <f t="shared" si="4"/>
        <v/>
      </c>
      <c r="D35" s="263"/>
      <c r="E35" s="263"/>
      <c r="F35" s="263"/>
      <c r="G35" s="265">
        <f t="shared" si="5"/>
        <v>0</v>
      </c>
      <c r="H35" s="248"/>
      <c r="I35" s="242"/>
      <c r="J35" s="242"/>
      <c r="K35" s="243"/>
      <c r="L35" s="244">
        <f t="shared" si="6"/>
        <v>0</v>
      </c>
      <c r="M35" s="242"/>
      <c r="N35" s="242"/>
      <c r="O35" s="242"/>
      <c r="P35" s="242"/>
      <c r="Q35" s="242"/>
      <c r="R35" s="242"/>
      <c r="S35" s="242"/>
      <c r="T35" s="242"/>
      <c r="U35" s="242"/>
      <c r="V35" s="242"/>
      <c r="W35" s="242"/>
      <c r="X35" s="242"/>
    </row>
    <row r="36" spans="2:24" x14ac:dyDescent="0.2">
      <c r="B36" s="219">
        <v>8</v>
      </c>
      <c r="C36" s="289" t="str">
        <f t="shared" si="4"/>
        <v/>
      </c>
      <c r="D36" s="226"/>
      <c r="E36" s="226"/>
      <c r="F36" s="263"/>
      <c r="G36" s="265">
        <f t="shared" si="5"/>
        <v>0</v>
      </c>
      <c r="H36" s="248"/>
      <c r="I36" s="242"/>
      <c r="J36" s="242"/>
      <c r="K36" s="243"/>
      <c r="L36" s="244">
        <f t="shared" si="6"/>
        <v>0</v>
      </c>
      <c r="M36" s="242"/>
      <c r="N36" s="242"/>
      <c r="O36" s="242"/>
      <c r="P36" s="242"/>
      <c r="Q36" s="242"/>
      <c r="R36" s="242"/>
      <c r="S36" s="242"/>
      <c r="T36" s="242"/>
      <c r="U36" s="242"/>
      <c r="V36" s="242"/>
      <c r="W36" s="242"/>
      <c r="X36" s="242"/>
    </row>
    <row r="37" spans="2:24" x14ac:dyDescent="0.2">
      <c r="B37" s="219">
        <v>9</v>
      </c>
      <c r="C37" s="289" t="str">
        <f t="shared" si="4"/>
        <v/>
      </c>
      <c r="D37" s="226"/>
      <c r="E37" s="226"/>
      <c r="F37" s="263"/>
      <c r="G37" s="265">
        <f t="shared" si="5"/>
        <v>0</v>
      </c>
      <c r="H37" s="248"/>
      <c r="I37" s="242"/>
      <c r="J37" s="242"/>
      <c r="K37" s="243"/>
      <c r="L37" s="244">
        <f t="shared" si="6"/>
        <v>0</v>
      </c>
      <c r="M37" s="242"/>
      <c r="N37" s="242"/>
      <c r="O37" s="242"/>
      <c r="P37" s="242"/>
      <c r="Q37" s="242"/>
      <c r="R37" s="242"/>
      <c r="S37" s="242"/>
      <c r="T37" s="242"/>
      <c r="U37" s="242"/>
      <c r="V37" s="242"/>
      <c r="W37" s="242"/>
      <c r="X37" s="242"/>
    </row>
    <row r="38" spans="2:24" x14ac:dyDescent="0.2">
      <c r="B38" s="219">
        <v>10</v>
      </c>
      <c r="C38" s="289" t="str">
        <f t="shared" si="4"/>
        <v/>
      </c>
      <c r="D38" s="226"/>
      <c r="E38" s="226"/>
      <c r="F38" s="263"/>
      <c r="G38" s="265">
        <f t="shared" si="5"/>
        <v>0</v>
      </c>
      <c r="H38" s="248"/>
      <c r="I38" s="242"/>
      <c r="J38" s="242"/>
      <c r="K38" s="243"/>
      <c r="L38" s="244">
        <f t="shared" si="6"/>
        <v>0</v>
      </c>
      <c r="M38" s="242"/>
      <c r="N38" s="242"/>
      <c r="O38" s="242"/>
      <c r="P38" s="242"/>
      <c r="Q38" s="242"/>
      <c r="R38" s="242"/>
      <c r="S38" s="242"/>
      <c r="T38" s="242"/>
      <c r="U38" s="242"/>
      <c r="V38" s="242"/>
      <c r="W38" s="242"/>
      <c r="X38" s="242"/>
    </row>
    <row r="39" spans="2:24" x14ac:dyDescent="0.2">
      <c r="B39" s="219">
        <v>11</v>
      </c>
      <c r="C39" s="289" t="str">
        <f t="shared" si="4"/>
        <v/>
      </c>
      <c r="D39" s="226"/>
      <c r="E39" s="226"/>
      <c r="F39" s="263"/>
      <c r="G39" s="265">
        <f t="shared" si="5"/>
        <v>0</v>
      </c>
      <c r="H39" s="248"/>
      <c r="I39" s="242"/>
      <c r="J39" s="242"/>
      <c r="K39" s="243"/>
      <c r="L39" s="244">
        <f t="shared" si="6"/>
        <v>0</v>
      </c>
      <c r="M39" s="242"/>
      <c r="N39" s="242"/>
      <c r="O39" s="242"/>
      <c r="P39" s="242"/>
      <c r="Q39" s="242"/>
      <c r="R39" s="242"/>
      <c r="S39" s="242"/>
      <c r="T39" s="242"/>
      <c r="U39" s="242"/>
      <c r="V39" s="242"/>
      <c r="W39" s="242"/>
      <c r="X39" s="242"/>
    </row>
    <row r="40" spans="2:24" x14ac:dyDescent="0.2">
      <c r="B40" s="219">
        <v>12</v>
      </c>
      <c r="C40" s="289" t="str">
        <f t="shared" si="4"/>
        <v/>
      </c>
      <c r="D40" s="226"/>
      <c r="E40" s="226"/>
      <c r="F40" s="263"/>
      <c r="G40" s="265">
        <f t="shared" si="5"/>
        <v>0</v>
      </c>
      <c r="H40" s="248"/>
      <c r="I40" s="242"/>
      <c r="J40" s="242"/>
      <c r="K40" s="243"/>
      <c r="L40" s="244">
        <f t="shared" si="6"/>
        <v>0</v>
      </c>
      <c r="M40" s="242"/>
      <c r="N40" s="242"/>
      <c r="O40" s="242"/>
      <c r="P40" s="242"/>
      <c r="Q40" s="242"/>
      <c r="R40" s="242"/>
      <c r="S40" s="242"/>
      <c r="T40" s="242"/>
      <c r="U40" s="242"/>
      <c r="V40" s="242"/>
      <c r="W40" s="242"/>
      <c r="X40" s="242"/>
    </row>
    <row r="41" spans="2:24" x14ac:dyDescent="0.2">
      <c r="B41" s="219">
        <v>13</v>
      </c>
      <c r="C41" s="289" t="str">
        <f t="shared" si="4"/>
        <v/>
      </c>
      <c r="D41" s="226"/>
      <c r="E41" s="226"/>
      <c r="F41" s="263"/>
      <c r="G41" s="265">
        <f t="shared" si="5"/>
        <v>0</v>
      </c>
      <c r="H41" s="248"/>
      <c r="I41" s="242"/>
      <c r="J41" s="242"/>
      <c r="K41" s="243"/>
      <c r="L41" s="244">
        <f t="shared" si="6"/>
        <v>0</v>
      </c>
      <c r="M41" s="242"/>
      <c r="N41" s="242"/>
      <c r="O41" s="242"/>
      <c r="P41" s="242"/>
      <c r="Q41" s="242"/>
      <c r="R41" s="242"/>
      <c r="S41" s="242"/>
      <c r="T41" s="242"/>
      <c r="U41" s="242"/>
      <c r="V41" s="242"/>
      <c r="W41" s="242"/>
      <c r="X41" s="242"/>
    </row>
    <row r="42" spans="2:24" x14ac:dyDescent="0.2">
      <c r="B42" s="219">
        <v>14</v>
      </c>
      <c r="C42" s="289" t="str">
        <f t="shared" si="4"/>
        <v/>
      </c>
      <c r="D42" s="226"/>
      <c r="E42" s="226"/>
      <c r="F42" s="263"/>
      <c r="G42" s="265">
        <f t="shared" si="5"/>
        <v>0</v>
      </c>
      <c r="H42" s="248"/>
      <c r="I42" s="242"/>
      <c r="J42" s="242"/>
      <c r="K42" s="243"/>
      <c r="L42" s="244">
        <f t="shared" si="6"/>
        <v>0</v>
      </c>
      <c r="M42" s="242"/>
      <c r="N42" s="242"/>
      <c r="O42" s="242"/>
      <c r="P42" s="242"/>
      <c r="Q42" s="242"/>
      <c r="R42" s="242"/>
      <c r="S42" s="242"/>
      <c r="T42" s="242"/>
      <c r="U42" s="242"/>
      <c r="V42" s="242"/>
      <c r="W42" s="242"/>
      <c r="X42" s="242"/>
    </row>
    <row r="43" spans="2:24" x14ac:dyDescent="0.2">
      <c r="B43" s="219">
        <v>15</v>
      </c>
      <c r="C43" s="289" t="str">
        <f t="shared" si="4"/>
        <v/>
      </c>
      <c r="D43" s="226"/>
      <c r="E43" s="226"/>
      <c r="F43" s="263"/>
      <c r="G43" s="265">
        <f t="shared" si="5"/>
        <v>0</v>
      </c>
      <c r="H43" s="248"/>
      <c r="I43" s="242"/>
      <c r="J43" s="242"/>
      <c r="K43" s="243"/>
      <c r="L43" s="244">
        <f t="shared" si="6"/>
        <v>0</v>
      </c>
      <c r="M43" s="242"/>
      <c r="N43" s="242"/>
      <c r="O43" s="242"/>
      <c r="P43" s="242"/>
      <c r="Q43" s="242"/>
      <c r="R43" s="242"/>
      <c r="S43" s="242"/>
      <c r="T43" s="242"/>
      <c r="U43" s="242"/>
      <c r="V43" s="242"/>
      <c r="W43" s="242"/>
      <c r="X43" s="242"/>
    </row>
    <row r="44" spans="2:24" x14ac:dyDescent="0.2">
      <c r="B44" s="219">
        <v>16</v>
      </c>
      <c r="C44" s="289" t="str">
        <f t="shared" si="4"/>
        <v/>
      </c>
      <c r="D44" s="226"/>
      <c r="E44" s="226"/>
      <c r="F44" s="263"/>
      <c r="G44" s="265">
        <f t="shared" si="5"/>
        <v>0</v>
      </c>
      <c r="H44" s="248"/>
      <c r="I44" s="242"/>
      <c r="J44" s="242"/>
      <c r="K44" s="243"/>
      <c r="L44" s="244">
        <f t="shared" si="6"/>
        <v>0</v>
      </c>
      <c r="M44" s="242"/>
      <c r="N44" s="242"/>
      <c r="O44" s="242"/>
      <c r="P44" s="242"/>
      <c r="Q44" s="242"/>
      <c r="R44" s="242"/>
      <c r="S44" s="242"/>
      <c r="T44" s="242"/>
      <c r="U44" s="242"/>
      <c r="V44" s="242"/>
      <c r="W44" s="242"/>
      <c r="X44" s="242"/>
    </row>
    <row r="45" spans="2:24" x14ac:dyDescent="0.2">
      <c r="B45" s="219">
        <v>17</v>
      </c>
      <c r="C45" s="289" t="str">
        <f t="shared" si="4"/>
        <v/>
      </c>
      <c r="D45" s="226"/>
      <c r="E45" s="226"/>
      <c r="F45" s="263"/>
      <c r="G45" s="265">
        <f t="shared" si="5"/>
        <v>0</v>
      </c>
      <c r="H45" s="248"/>
      <c r="I45" s="242"/>
      <c r="J45" s="242"/>
      <c r="K45" s="243"/>
      <c r="L45" s="244">
        <f t="shared" si="6"/>
        <v>0</v>
      </c>
      <c r="M45" s="242"/>
      <c r="N45" s="242"/>
      <c r="O45" s="242"/>
      <c r="P45" s="242"/>
      <c r="Q45" s="242"/>
      <c r="R45" s="242"/>
      <c r="S45" s="242"/>
      <c r="T45" s="242"/>
      <c r="U45" s="242"/>
      <c r="V45" s="242"/>
      <c r="W45" s="242"/>
      <c r="X45" s="242"/>
    </row>
    <row r="46" spans="2:24" x14ac:dyDescent="0.2">
      <c r="B46" s="219">
        <v>18</v>
      </c>
      <c r="C46" s="289" t="str">
        <f t="shared" si="4"/>
        <v/>
      </c>
      <c r="D46" s="226"/>
      <c r="E46" s="226"/>
      <c r="F46" s="263"/>
      <c r="G46" s="265">
        <f t="shared" si="5"/>
        <v>0</v>
      </c>
      <c r="H46" s="248"/>
      <c r="I46" s="242"/>
      <c r="J46" s="242"/>
      <c r="K46" s="243"/>
      <c r="L46" s="244">
        <f t="shared" si="6"/>
        <v>0</v>
      </c>
      <c r="M46" s="242"/>
      <c r="N46" s="242"/>
      <c r="O46" s="242"/>
      <c r="P46" s="242"/>
      <c r="Q46" s="242"/>
      <c r="R46" s="242"/>
      <c r="S46" s="242"/>
      <c r="T46" s="242"/>
      <c r="U46" s="242"/>
      <c r="V46" s="242"/>
      <c r="W46" s="242"/>
      <c r="X46" s="242"/>
    </row>
    <row r="47" spans="2:24" x14ac:dyDescent="0.2">
      <c r="B47" s="219">
        <v>19</v>
      </c>
      <c r="C47" s="289" t="str">
        <f t="shared" si="4"/>
        <v/>
      </c>
      <c r="D47" s="226"/>
      <c r="E47" s="226"/>
      <c r="F47" s="263"/>
      <c r="G47" s="265">
        <f t="shared" si="5"/>
        <v>0</v>
      </c>
      <c r="H47" s="248"/>
      <c r="I47" s="242"/>
      <c r="J47" s="242"/>
      <c r="K47" s="243"/>
      <c r="L47" s="244">
        <f t="shared" si="6"/>
        <v>0</v>
      </c>
      <c r="M47" s="242"/>
      <c r="N47" s="242"/>
      <c r="O47" s="242"/>
      <c r="P47" s="242"/>
      <c r="Q47" s="242"/>
      <c r="R47" s="242"/>
      <c r="S47" s="242"/>
      <c r="T47" s="242"/>
      <c r="U47" s="242"/>
      <c r="V47" s="242"/>
      <c r="W47" s="242"/>
      <c r="X47" s="242"/>
    </row>
    <row r="48" spans="2:24" x14ac:dyDescent="0.2">
      <c r="B48" s="219">
        <v>20</v>
      </c>
      <c r="C48" s="289" t="str">
        <f t="shared" si="4"/>
        <v/>
      </c>
      <c r="D48" s="226"/>
      <c r="E48" s="226"/>
      <c r="F48" s="263"/>
      <c r="G48" s="265">
        <f t="shared" si="5"/>
        <v>0</v>
      </c>
      <c r="H48" s="248"/>
      <c r="I48" s="242"/>
      <c r="J48" s="242"/>
      <c r="K48" s="243"/>
      <c r="L48" s="244">
        <f t="shared" si="6"/>
        <v>0</v>
      </c>
      <c r="M48" s="242"/>
      <c r="N48" s="242"/>
      <c r="O48" s="242"/>
      <c r="P48" s="242"/>
      <c r="Q48" s="242"/>
      <c r="R48" s="242"/>
      <c r="S48" s="242"/>
      <c r="T48" s="242"/>
      <c r="U48" s="242"/>
      <c r="V48" s="242"/>
      <c r="W48" s="242"/>
      <c r="X48" s="242"/>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7" customWidth="1"/>
    <col min="2" max="2" width="5.7109375" style="227" customWidth="1"/>
    <col min="3" max="3" width="9.42578125" style="227" bestFit="1" customWidth="1"/>
    <col min="4" max="4" width="67" style="227" bestFit="1" customWidth="1"/>
    <col min="5" max="5" width="17.140625" style="227" bestFit="1" customWidth="1"/>
    <col min="6" max="6" width="17" style="227" customWidth="1"/>
    <col min="7" max="7" width="16.140625" style="227" bestFit="1" customWidth="1"/>
    <col min="8" max="8" width="22.7109375" style="227" bestFit="1" customWidth="1"/>
    <col min="9" max="9" width="18.5703125" style="227" bestFit="1" customWidth="1"/>
    <col min="10" max="10" width="22.28515625" style="227" bestFit="1" customWidth="1"/>
    <col min="11" max="11" width="18.28515625" style="227" bestFit="1" customWidth="1"/>
    <col min="12" max="22" width="19.42578125" style="227" customWidth="1"/>
    <col min="23" max="25" width="23.7109375" style="227" hidden="1" customWidth="1"/>
    <col min="26" max="26" width="21.28515625" style="227" hidden="1" customWidth="1"/>
    <col min="27" max="27" width="22.140625" style="227" hidden="1" customWidth="1"/>
    <col min="28" max="16384" width="9.140625" style="227" hidden="1"/>
  </cols>
  <sheetData>
    <row r="1" spans="2:25" x14ac:dyDescent="0.2">
      <c r="B1" s="458" t="s">
        <v>332</v>
      </c>
      <c r="C1" s="458"/>
      <c r="D1" s="458"/>
    </row>
    <row r="2" spans="2:25" x14ac:dyDescent="0.2">
      <c r="B2" s="209"/>
      <c r="C2" s="209"/>
      <c r="D2" s="209"/>
    </row>
    <row r="3" spans="2:25" ht="20.25" customHeight="1" x14ac:dyDescent="0.2">
      <c r="B3" s="397" t="s">
        <v>376</v>
      </c>
      <c r="C3" s="190"/>
      <c r="D3" s="190"/>
      <c r="E3" s="190"/>
      <c r="F3" s="190"/>
      <c r="G3" s="190"/>
      <c r="H3" s="190"/>
    </row>
    <row r="4" spans="2:25" ht="18" x14ac:dyDescent="0.2">
      <c r="B4" s="397" t="s">
        <v>0</v>
      </c>
      <c r="C4" s="1"/>
      <c r="D4" s="1"/>
      <c r="E4" s="1"/>
      <c r="F4" s="1"/>
      <c r="G4" s="1"/>
      <c r="H4" s="1"/>
    </row>
    <row r="5" spans="2:25" ht="18" x14ac:dyDescent="0.2">
      <c r="B5" s="397" t="s">
        <v>377</v>
      </c>
      <c r="C5" s="1"/>
      <c r="D5" s="1"/>
      <c r="E5" s="1"/>
      <c r="F5" s="1"/>
      <c r="G5" s="1"/>
      <c r="H5" s="1"/>
    </row>
    <row r="6" spans="2:25" ht="15.75" x14ac:dyDescent="0.2">
      <c r="D6" s="167"/>
      <c r="E6" s="167"/>
      <c r="F6" s="167"/>
      <c r="G6" s="167"/>
      <c r="H6" s="167"/>
    </row>
    <row r="7" spans="2:25" ht="15.75" x14ac:dyDescent="0.25">
      <c r="B7" s="449" t="s">
        <v>2</v>
      </c>
      <c r="C7" s="449"/>
      <c r="D7" s="55" t="str">
        <f>IF(ISBLANK('1. Information'!D6),"",'1. Information'!D6)</f>
        <v>Fresno</v>
      </c>
      <c r="F7" s="205" t="s">
        <v>3</v>
      </c>
      <c r="G7" s="228">
        <f>IF(ISBLANK('1. Information'!D5),"",'1. Information'!D5)</f>
        <v>43223</v>
      </c>
    </row>
    <row r="8" spans="2:25" ht="15.75" x14ac:dyDescent="0.25">
      <c r="B8" s="15"/>
      <c r="C8" s="15"/>
      <c r="D8" s="15"/>
      <c r="G8" s="15"/>
      <c r="H8" s="312"/>
    </row>
    <row r="9" spans="2:25" ht="18.75" thickBot="1" x14ac:dyDescent="0.3">
      <c r="B9" s="398" t="s">
        <v>385</v>
      </c>
      <c r="C9" s="106"/>
      <c r="D9" s="106"/>
      <c r="E9" s="231"/>
      <c r="F9" s="231"/>
      <c r="G9" s="106"/>
      <c r="H9" s="313"/>
      <c r="I9" s="231"/>
      <c r="J9" s="231"/>
      <c r="K9" s="231"/>
      <c r="L9" s="231"/>
      <c r="M9" s="231"/>
      <c r="N9" s="231"/>
      <c r="O9" s="231"/>
      <c r="P9" s="231"/>
      <c r="Q9" s="231"/>
      <c r="R9" s="231"/>
      <c r="S9" s="231"/>
      <c r="T9" s="231"/>
      <c r="U9" s="231"/>
      <c r="V9" s="231"/>
    </row>
    <row r="10" spans="2:25" ht="16.5" thickTop="1" x14ac:dyDescent="0.25">
      <c r="B10" s="15"/>
      <c r="C10" s="15"/>
      <c r="D10" s="15"/>
      <c r="G10" s="15"/>
      <c r="H10" s="312"/>
    </row>
    <row r="11" spans="2:25" ht="15.75" x14ac:dyDescent="0.25">
      <c r="B11" s="15"/>
      <c r="C11" s="73" t="s">
        <v>59</v>
      </c>
      <c r="D11" s="73" t="s">
        <v>61</v>
      </c>
      <c r="E11" s="314" t="s">
        <v>65</v>
      </c>
      <c r="F11" s="259" t="s">
        <v>350</v>
      </c>
      <c r="G11" s="219" t="s">
        <v>351</v>
      </c>
      <c r="H11" s="219" t="s">
        <v>352</v>
      </c>
      <c r="I11" s="234" t="s">
        <v>361</v>
      </c>
      <c r="J11" s="259" t="s">
        <v>353</v>
      </c>
      <c r="K11" s="219" t="s">
        <v>354</v>
      </c>
      <c r="L11" s="219" t="s">
        <v>355</v>
      </c>
      <c r="M11" s="219" t="s">
        <v>356</v>
      </c>
      <c r="N11" s="219" t="s">
        <v>357</v>
      </c>
      <c r="O11" s="219" t="s">
        <v>358</v>
      </c>
      <c r="P11" s="219" t="s">
        <v>359</v>
      </c>
      <c r="Q11" s="219" t="s">
        <v>360</v>
      </c>
      <c r="R11" s="219" t="s">
        <v>362</v>
      </c>
      <c r="S11" s="219" t="s">
        <v>364</v>
      </c>
      <c r="T11" s="219" t="s">
        <v>365</v>
      </c>
      <c r="U11" s="219" t="s">
        <v>366</v>
      </c>
      <c r="V11" s="219" t="s">
        <v>367</v>
      </c>
    </row>
    <row r="12" spans="2:25" ht="15.75" x14ac:dyDescent="0.25">
      <c r="B12" s="75"/>
      <c r="C12" s="464" t="s">
        <v>319</v>
      </c>
      <c r="D12" s="464"/>
      <c r="E12" s="497"/>
      <c r="F12" s="460" t="s">
        <v>62</v>
      </c>
      <c r="G12" s="461"/>
      <c r="H12" s="461"/>
      <c r="I12" s="462"/>
      <c r="J12" s="463" t="s">
        <v>60</v>
      </c>
      <c r="K12" s="464"/>
      <c r="L12" s="464"/>
      <c r="M12" s="464"/>
      <c r="N12" s="464"/>
      <c r="O12" s="464"/>
      <c r="P12" s="464"/>
      <c r="Q12" s="464"/>
      <c r="R12" s="464"/>
      <c r="S12" s="464"/>
      <c r="T12" s="464"/>
      <c r="U12" s="464"/>
      <c r="V12" s="464"/>
      <c r="W12" s="75"/>
      <c r="X12" s="75"/>
      <c r="Y12" s="75"/>
    </row>
    <row r="13" spans="2:25" ht="80.25" customHeight="1" x14ac:dyDescent="0.2">
      <c r="B13" s="176" t="s">
        <v>177</v>
      </c>
      <c r="C13" s="180" t="s">
        <v>275</v>
      </c>
      <c r="D13" s="69" t="s">
        <v>168</v>
      </c>
      <c r="E13" s="191" t="s">
        <v>169</v>
      </c>
      <c r="F13" s="160" t="s">
        <v>7</v>
      </c>
      <c r="G13" s="158" t="s">
        <v>8</v>
      </c>
      <c r="H13" s="158" t="s">
        <v>9</v>
      </c>
      <c r="I13" s="161" t="s">
        <v>10</v>
      </c>
      <c r="J13" s="162" t="s">
        <v>392</v>
      </c>
      <c r="K13" s="158" t="s">
        <v>277</v>
      </c>
      <c r="L13" s="158" t="s">
        <v>393</v>
      </c>
      <c r="M13" s="158" t="s">
        <v>394</v>
      </c>
      <c r="N13" s="158" t="s">
        <v>395</v>
      </c>
      <c r="O13" s="158" t="s">
        <v>396</v>
      </c>
      <c r="P13" s="158" t="s">
        <v>397</v>
      </c>
      <c r="Q13" s="158" t="s">
        <v>398</v>
      </c>
      <c r="R13" s="158" t="s">
        <v>399</v>
      </c>
      <c r="S13" s="158" t="s">
        <v>400</v>
      </c>
      <c r="T13" s="158" t="s">
        <v>401</v>
      </c>
      <c r="U13" s="145" t="s">
        <v>402</v>
      </c>
      <c r="V13" s="145" t="s">
        <v>403</v>
      </c>
    </row>
    <row r="14" spans="2:25" x14ac:dyDescent="0.2">
      <c r="B14" s="219">
        <v>1</v>
      </c>
      <c r="C14" s="315" t="str">
        <f>IF(AND(NOT(COUNTA(F14:I14)),(NOT(COUNTA(L14:V14)))),"",VLOOKUP($D$7,Info_County_Code,2,FALSE))</f>
        <v/>
      </c>
      <c r="D14" s="192" t="s">
        <v>156</v>
      </c>
      <c r="E14" s="240">
        <f>SUM(F14:I14,J14)</f>
        <v>0</v>
      </c>
      <c r="F14" s="248"/>
      <c r="G14" s="242"/>
      <c r="H14" s="242"/>
      <c r="I14" s="243"/>
      <c r="J14" s="244">
        <f>SUM(K14,L14:V14)</f>
        <v>0</v>
      </c>
      <c r="K14" s="277"/>
      <c r="L14" s="276"/>
      <c r="M14" s="276"/>
      <c r="N14" s="276"/>
      <c r="O14" s="276"/>
      <c r="P14" s="276"/>
      <c r="Q14" s="248"/>
      <c r="R14" s="242"/>
      <c r="S14" s="242"/>
      <c r="T14" s="242"/>
      <c r="U14" s="316"/>
      <c r="V14" s="317"/>
    </row>
    <row r="15" spans="2:25" x14ac:dyDescent="0.2">
      <c r="B15" s="219">
        <v>2</v>
      </c>
      <c r="C15" s="315" t="str">
        <f>IF(AND(NOT(COUNTA(F15:I15)),(NOT(COUNTA(L15:V15)))),"",VLOOKUP($D$7,Info_County_Code,2,FALSE))</f>
        <v/>
      </c>
      <c r="D15" s="192" t="s">
        <v>155</v>
      </c>
      <c r="E15" s="240">
        <f>SUM(F15:I15,J15)</f>
        <v>0</v>
      </c>
      <c r="F15" s="248"/>
      <c r="G15" s="242"/>
      <c r="H15" s="242"/>
      <c r="I15" s="243"/>
      <c r="J15" s="244">
        <f>SUM(K15,L15:V15)</f>
        <v>0</v>
      </c>
      <c r="K15" s="242"/>
      <c r="L15" s="242"/>
      <c r="M15" s="242"/>
      <c r="N15" s="242"/>
      <c r="O15" s="242"/>
      <c r="P15" s="242"/>
      <c r="Q15" s="242"/>
      <c r="R15" s="242"/>
      <c r="S15" s="242"/>
      <c r="T15" s="242"/>
      <c r="U15" s="316"/>
      <c r="V15" s="317"/>
    </row>
    <row r="16" spans="2:25" x14ac:dyDescent="0.2">
      <c r="B16" s="219">
        <v>3</v>
      </c>
      <c r="C16" s="315" t="str">
        <f>IF(AND(NOT(COUNTA(F16:I16)),(NOT(COUNTA(L16:V16)))),"",VLOOKUP($D$7,Info_County_Code,2,FALSE))</f>
        <v/>
      </c>
      <c r="D16" s="192" t="s">
        <v>157</v>
      </c>
      <c r="E16" s="240">
        <f>SUM(F16:I16,J16)</f>
        <v>0</v>
      </c>
      <c r="F16" s="248"/>
      <c r="G16" s="242"/>
      <c r="H16" s="242"/>
      <c r="I16" s="243"/>
      <c r="J16" s="244">
        <f>SUM(K16,L16:V16)</f>
        <v>0</v>
      </c>
      <c r="K16" s="242"/>
      <c r="L16" s="242"/>
      <c r="M16" s="242"/>
      <c r="N16" s="242"/>
      <c r="O16" s="318"/>
      <c r="P16" s="319"/>
      <c r="Q16" s="319"/>
      <c r="R16" s="319"/>
      <c r="S16" s="319"/>
      <c r="T16" s="319"/>
      <c r="U16" s="317"/>
      <c r="V16" s="317"/>
    </row>
    <row r="17" spans="4:7" hidden="1" x14ac:dyDescent="0.2">
      <c r="D17" s="63"/>
      <c r="E17" s="193"/>
      <c r="F17" s="193"/>
      <c r="G17" s="193"/>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38"/>
  <sheetViews>
    <sheetView showGridLines="0" topLeftCell="A4" zoomScale="85" zoomScaleNormal="85" workbookViewId="0">
      <selection activeCell="F18" sqref="F18:G20"/>
    </sheetView>
  </sheetViews>
  <sheetFormatPr defaultColWidth="0" defaultRowHeight="15" zeroHeight="1" x14ac:dyDescent="0.2"/>
  <cols>
    <col min="1" max="1" width="2.7109375" style="227" customWidth="1"/>
    <col min="2" max="2" width="6.7109375" style="227" customWidth="1"/>
    <col min="3" max="3" width="9.28515625" style="227" bestFit="1" customWidth="1"/>
    <col min="4" max="4" width="26.140625" style="227" customWidth="1"/>
    <col min="5" max="5" width="19" style="227" customWidth="1"/>
    <col min="6" max="6" width="30" style="227" customWidth="1"/>
    <col min="7" max="7" width="54.28515625" style="227" customWidth="1"/>
    <col min="8" max="8" width="13.28515625" style="227" hidden="1" customWidth="1"/>
    <col min="9" max="14" width="11.7109375" style="227" hidden="1" customWidth="1"/>
    <col min="15" max="16384" width="9.140625" style="227" hidden="1"/>
  </cols>
  <sheetData>
    <row r="1" spans="2:9" x14ac:dyDescent="0.2">
      <c r="B1" s="164" t="s">
        <v>332</v>
      </c>
      <c r="C1" s="164"/>
    </row>
    <row r="2" spans="2:9" x14ac:dyDescent="0.2">
      <c r="B2" s="209"/>
      <c r="C2" s="209"/>
    </row>
    <row r="3" spans="2:9" ht="18" x14ac:dyDescent="0.2">
      <c r="B3" s="397" t="s">
        <v>376</v>
      </c>
      <c r="C3" s="1"/>
      <c r="D3" s="1"/>
      <c r="E3" s="1"/>
      <c r="F3" s="1"/>
    </row>
    <row r="4" spans="2:9" ht="18" x14ac:dyDescent="0.2">
      <c r="B4" s="397" t="s">
        <v>0</v>
      </c>
      <c r="C4" s="1"/>
      <c r="D4" s="1"/>
      <c r="E4" s="1"/>
      <c r="F4" s="1"/>
    </row>
    <row r="5" spans="2:9" ht="18" x14ac:dyDescent="0.2">
      <c r="B5" s="138" t="s">
        <v>170</v>
      </c>
      <c r="C5" s="105"/>
      <c r="D5" s="105"/>
      <c r="E5" s="105"/>
      <c r="F5" s="105"/>
    </row>
    <row r="6" spans="2:9" ht="15.75" x14ac:dyDescent="0.2">
      <c r="C6" s="207"/>
      <c r="D6" s="207"/>
      <c r="E6" s="207"/>
      <c r="F6" s="207"/>
    </row>
    <row r="7" spans="2:9" ht="15.75" x14ac:dyDescent="0.25">
      <c r="B7" s="449" t="s">
        <v>2</v>
      </c>
      <c r="C7" s="449"/>
      <c r="D7" s="55" t="str">
        <f>IF(ISBLANK('1. Information'!D6),"",'1. Information'!D6)</f>
        <v>Fresno</v>
      </c>
      <c r="E7" s="7"/>
      <c r="F7" s="211" t="s">
        <v>233</v>
      </c>
      <c r="G7" s="228">
        <f>IF(ISBLANK('1. Information'!D5),"",'1. Information'!D5)</f>
        <v>43223</v>
      </c>
    </row>
    <row r="8" spans="2:9" ht="15.75" x14ac:dyDescent="0.25">
      <c r="B8" s="15"/>
      <c r="C8" s="15"/>
      <c r="D8" s="15"/>
      <c r="E8" s="7"/>
      <c r="F8" s="194"/>
      <c r="G8" s="230"/>
    </row>
    <row r="9" spans="2:9" ht="18.75" thickBot="1" x14ac:dyDescent="0.3">
      <c r="B9" s="398" t="s">
        <v>385</v>
      </c>
      <c r="C9" s="106"/>
      <c r="D9" s="106"/>
      <c r="E9" s="141"/>
      <c r="F9" s="195"/>
      <c r="G9" s="232"/>
    </row>
    <row r="10" spans="2:9" ht="16.5" thickTop="1" x14ac:dyDescent="0.25">
      <c r="B10" s="15"/>
      <c r="C10" s="15"/>
      <c r="D10" s="15"/>
      <c r="E10" s="7"/>
      <c r="F10" s="194"/>
      <c r="G10" s="230"/>
    </row>
    <row r="11" spans="2:9" x14ac:dyDescent="0.2">
      <c r="C11" s="196" t="s">
        <v>59</v>
      </c>
      <c r="D11" s="196" t="s">
        <v>61</v>
      </c>
      <c r="E11" s="196" t="s">
        <v>65</v>
      </c>
      <c r="F11" s="196" t="s">
        <v>350</v>
      </c>
      <c r="G11" s="238" t="s">
        <v>351</v>
      </c>
    </row>
    <row r="12" spans="2:9" ht="31.5" x14ac:dyDescent="0.2">
      <c r="B12" s="176" t="s">
        <v>177</v>
      </c>
      <c r="C12" s="144" t="s">
        <v>20</v>
      </c>
      <c r="D12" s="81" t="s">
        <v>146</v>
      </c>
      <c r="E12" s="81" t="s">
        <v>145</v>
      </c>
      <c r="F12" s="81" t="s">
        <v>147</v>
      </c>
      <c r="G12" s="81" t="s">
        <v>148</v>
      </c>
      <c r="I12" s="197"/>
    </row>
    <row r="13" spans="2:9" x14ac:dyDescent="0.2">
      <c r="B13" s="219">
        <v>1</v>
      </c>
      <c r="C13" s="262">
        <f t="shared" ref="C13:C22" si="0">IF(NOT(COUNTA(D13:G13)),"",VLOOKUP($D$7,Info_County_Code,2,FALSE))</f>
        <v>10</v>
      </c>
      <c r="D13" s="320" t="s">
        <v>68</v>
      </c>
      <c r="E13" s="438" t="s">
        <v>53</v>
      </c>
      <c r="F13" s="323">
        <v>-3594054.65</v>
      </c>
      <c r="G13" s="439" t="s">
        <v>480</v>
      </c>
    </row>
    <row r="14" spans="2:9" x14ac:dyDescent="0.2">
      <c r="B14" s="219">
        <v>2</v>
      </c>
      <c r="C14" s="262">
        <f t="shared" si="0"/>
        <v>10</v>
      </c>
      <c r="D14" s="320" t="s">
        <v>69</v>
      </c>
      <c r="E14" s="290" t="s">
        <v>53</v>
      </c>
      <c r="F14" s="323">
        <v>-898513.66</v>
      </c>
      <c r="G14" s="439" t="s">
        <v>480</v>
      </c>
    </row>
    <row r="15" spans="2:9" x14ac:dyDescent="0.2">
      <c r="B15" s="219">
        <v>3</v>
      </c>
      <c r="C15" s="262">
        <f t="shared" si="0"/>
        <v>10</v>
      </c>
      <c r="D15" s="320" t="s">
        <v>70</v>
      </c>
      <c r="E15" s="438" t="s">
        <v>53</v>
      </c>
      <c r="F15" s="323">
        <v>-236450.96</v>
      </c>
      <c r="G15" s="439" t="s">
        <v>480</v>
      </c>
    </row>
    <row r="16" spans="2:9" x14ac:dyDescent="0.2">
      <c r="B16" s="219">
        <v>4</v>
      </c>
      <c r="C16" s="262" t="str">
        <f t="shared" si="0"/>
        <v/>
      </c>
      <c r="D16" s="320"/>
      <c r="E16" s="290"/>
      <c r="F16" s="434"/>
      <c r="G16" s="439"/>
    </row>
    <row r="17" spans="2:7" x14ac:dyDescent="0.2">
      <c r="B17" s="219">
        <v>5</v>
      </c>
      <c r="C17" s="262" t="str">
        <f t="shared" si="0"/>
        <v/>
      </c>
      <c r="D17" s="320"/>
      <c r="E17" s="290"/>
      <c r="F17" s="435"/>
      <c r="G17" s="439"/>
    </row>
    <row r="18" spans="2:7" x14ac:dyDescent="0.2">
      <c r="B18" s="219">
        <v>6</v>
      </c>
      <c r="C18" s="262" t="str">
        <f t="shared" si="0"/>
        <v/>
      </c>
      <c r="D18" s="320"/>
      <c r="E18" s="290"/>
      <c r="F18" s="323"/>
      <c r="G18" s="439"/>
    </row>
    <row r="19" spans="2:7" x14ac:dyDescent="0.2">
      <c r="B19" s="219">
        <v>7</v>
      </c>
      <c r="C19" s="262" t="str">
        <f t="shared" si="0"/>
        <v/>
      </c>
      <c r="D19" s="320"/>
      <c r="E19" s="290"/>
      <c r="F19" s="323"/>
      <c r="G19" s="439"/>
    </row>
    <row r="20" spans="2:7" x14ac:dyDescent="0.2">
      <c r="B20" s="219">
        <v>8</v>
      </c>
      <c r="C20" s="262" t="str">
        <f t="shared" si="0"/>
        <v/>
      </c>
      <c r="D20" s="320"/>
      <c r="E20" s="290"/>
      <c r="F20" s="323"/>
      <c r="G20" s="439"/>
    </row>
    <row r="21" spans="2:7" x14ac:dyDescent="0.2">
      <c r="B21" s="219">
        <v>9</v>
      </c>
      <c r="C21" s="262" t="str">
        <f t="shared" si="0"/>
        <v/>
      </c>
      <c r="D21" s="320"/>
      <c r="E21" s="290"/>
      <c r="F21" s="323"/>
      <c r="G21" s="322"/>
    </row>
    <row r="22" spans="2:7" x14ac:dyDescent="0.2">
      <c r="B22" s="219">
        <v>10</v>
      </c>
      <c r="C22" s="262" t="str">
        <f t="shared" si="0"/>
        <v/>
      </c>
      <c r="D22" s="320"/>
      <c r="E22" s="290"/>
      <c r="F22" s="323"/>
      <c r="G22" s="322"/>
    </row>
    <row r="23" spans="2:7" x14ac:dyDescent="0.2">
      <c r="C23" s="324" t="str">
        <f>IF(NOT(COUNTA(D23:G23)),"",VLOOKUP(D21,Info_County_Code,2,FALSE))</f>
        <v/>
      </c>
      <c r="D23" s="217"/>
      <c r="E23" s="217"/>
      <c r="F23" s="325"/>
    </row>
    <row r="24" spans="2:7" ht="18.75" thickBot="1" x14ac:dyDescent="0.3">
      <c r="B24" s="399" t="s">
        <v>386</v>
      </c>
      <c r="C24" s="326"/>
      <c r="D24" s="231"/>
      <c r="E24" s="231"/>
      <c r="F24" s="327"/>
      <c r="G24" s="231"/>
    </row>
    <row r="25" spans="2:7" s="217" customFormat="1" ht="15.75" thickTop="1" x14ac:dyDescent="0.2"/>
    <row r="26" spans="2:7" s="217" customFormat="1" x14ac:dyDescent="0.2">
      <c r="C26" s="219" t="s">
        <v>59</v>
      </c>
      <c r="D26" s="219" t="s">
        <v>61</v>
      </c>
      <c r="E26" s="219" t="s">
        <v>65</v>
      </c>
      <c r="F26" s="219" t="s">
        <v>350</v>
      </c>
      <c r="G26" s="219" t="s">
        <v>351</v>
      </c>
    </row>
    <row r="27" spans="2:7" ht="15.75" x14ac:dyDescent="0.2">
      <c r="B27" s="176" t="s">
        <v>177</v>
      </c>
      <c r="C27" s="144" t="s">
        <v>20</v>
      </c>
      <c r="D27" s="144" t="s">
        <v>248</v>
      </c>
      <c r="E27" s="81" t="s">
        <v>146</v>
      </c>
      <c r="F27" s="81" t="s">
        <v>147</v>
      </c>
      <c r="G27" s="81" t="s">
        <v>148</v>
      </c>
    </row>
    <row r="28" spans="2:7" x14ac:dyDescent="0.2">
      <c r="B28" s="219">
        <v>1</v>
      </c>
      <c r="C28" s="328" t="str">
        <f>IF(NOT(COUNTA(E28:G28)),"",VLOOKUP($D$7,Info_County_Code,2,FALSE))</f>
        <v/>
      </c>
      <c r="D28" s="329" t="s">
        <v>54</v>
      </c>
      <c r="E28" s="290"/>
      <c r="F28" s="321"/>
      <c r="G28" s="322"/>
    </row>
    <row r="29" spans="2:7" x14ac:dyDescent="0.2">
      <c r="B29" s="219">
        <v>2</v>
      </c>
      <c r="C29" s="328" t="str">
        <f>IF(NOT(COUNTA(E29:G29)),"",VLOOKUP($D$7,Info_County_Code,2,FALSE))</f>
        <v/>
      </c>
      <c r="D29" s="329" t="s">
        <v>54</v>
      </c>
      <c r="E29" s="290"/>
      <c r="F29" s="321"/>
      <c r="G29" s="322"/>
    </row>
    <row r="30" spans="2:7" x14ac:dyDescent="0.2">
      <c r="B30" s="219">
        <v>3</v>
      </c>
      <c r="C30" s="328" t="str">
        <f>IF(NOT(COUNTA(E30:G30)),"",VLOOKUP($D$7,Info_County_Code,2,FALSE))</f>
        <v/>
      </c>
      <c r="D30" s="329" t="s">
        <v>54</v>
      </c>
      <c r="E30" s="290"/>
      <c r="F30" s="321"/>
      <c r="G30" s="322"/>
    </row>
    <row r="31" spans="2:7" x14ac:dyDescent="0.2">
      <c r="D31" s="324"/>
      <c r="E31" s="229"/>
    </row>
    <row r="32" spans="2:7" ht="18.75" thickBot="1" x14ac:dyDescent="0.3">
      <c r="B32" s="399" t="s">
        <v>387</v>
      </c>
      <c r="C32" s="231"/>
      <c r="D32" s="326"/>
      <c r="E32" s="233"/>
      <c r="F32" s="231"/>
    </row>
    <row r="33" spans="2:6" ht="15.75" thickTop="1" x14ac:dyDescent="0.2">
      <c r="D33" s="324"/>
      <c r="E33" s="229"/>
    </row>
    <row r="34" spans="2:6" x14ac:dyDescent="0.2">
      <c r="C34" s="238" t="s">
        <v>59</v>
      </c>
      <c r="D34" s="330" t="s">
        <v>61</v>
      </c>
      <c r="E34" s="237" t="s">
        <v>65</v>
      </c>
      <c r="F34" s="238" t="s">
        <v>350</v>
      </c>
    </row>
    <row r="35" spans="2:6" ht="15.75" x14ac:dyDescent="0.2">
      <c r="B35" s="176" t="s">
        <v>177</v>
      </c>
      <c r="C35" s="144" t="s">
        <v>20</v>
      </c>
      <c r="D35" s="144" t="s">
        <v>248</v>
      </c>
      <c r="E35" s="81" t="s">
        <v>147</v>
      </c>
      <c r="F35" s="81" t="s">
        <v>148</v>
      </c>
    </row>
    <row r="36" spans="2:6" x14ac:dyDescent="0.2">
      <c r="B36" s="219">
        <v>1</v>
      </c>
      <c r="C36" s="328" t="str">
        <f>IF(NOT(COUNTA(E36:F36)),"",VLOOKUP($D$7,Info_County_Code,2,FALSE))</f>
        <v/>
      </c>
      <c r="D36" s="329" t="s">
        <v>249</v>
      </c>
      <c r="E36" s="434"/>
      <c r="F36" s="322"/>
    </row>
    <row r="37" spans="2:6" x14ac:dyDescent="0.2">
      <c r="B37" s="219">
        <v>2</v>
      </c>
      <c r="C37" s="328" t="str">
        <f>IF(NOT(COUNTA(E37:F37)),"",VLOOKUP($D$7,Info_County_Code,2,FALSE))</f>
        <v/>
      </c>
      <c r="D37" s="329" t="s">
        <v>249</v>
      </c>
      <c r="E37" s="321"/>
      <c r="F37" s="322"/>
    </row>
    <row r="38" spans="2:6" x14ac:dyDescent="0.2">
      <c r="B38" s="219">
        <v>3</v>
      </c>
      <c r="C38" s="328" t="str">
        <f>IF(NOT(COUNTA(E38:F38)),"",VLOOKUP($D$7,Info_County_Code,2,FALSE))</f>
        <v/>
      </c>
      <c r="D38" s="329" t="s">
        <v>249</v>
      </c>
      <c r="E38" s="321"/>
      <c r="F38" s="322"/>
    </row>
  </sheetData>
  <sheetProtection sheet="1" objects="1" scenarios="1" formatColumns="0" formatRows="0" selectLockedCells="1"/>
  <mergeCells count="1">
    <mergeCell ref="B7:C7"/>
  </mergeCells>
  <dataValidations count="2">
    <dataValidation type="list" allowBlank="1" showInputMessage="1" showErrorMessage="1" sqref="E28:E30 D13:D22" xr:uid="{00000000-0002-0000-0A00-000000000000}">
      <formula1>Adjustment_MHSA_Component</formula1>
    </dataValidation>
    <dataValidation type="list" allowBlank="1" showInputMessage="1" showErrorMessage="1" sqref="E13:E2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7" zoomScale="85" zoomScaleNormal="85" workbookViewId="0">
      <selection activeCell="E13" sqref="E13"/>
    </sheetView>
  </sheetViews>
  <sheetFormatPr defaultColWidth="0" defaultRowHeight="15" zeroHeight="1" x14ac:dyDescent="0.2"/>
  <cols>
    <col min="1" max="1" width="2.7109375" style="227" customWidth="1"/>
    <col min="2" max="2" width="6.7109375" style="227" customWidth="1"/>
    <col min="3" max="3" width="9.42578125" style="227" customWidth="1"/>
    <col min="4" max="4" width="13.85546875" style="227" bestFit="1" customWidth="1"/>
    <col min="5" max="5" width="15.42578125" style="227" bestFit="1" customWidth="1"/>
    <col min="6" max="6" width="15" style="227" bestFit="1" customWidth="1"/>
    <col min="7" max="7" width="30.5703125" style="227" customWidth="1"/>
    <col min="8" max="8" width="18.28515625" style="227" customWidth="1"/>
    <col min="9" max="9" width="19.85546875" style="227" bestFit="1" customWidth="1"/>
    <col min="10" max="14" width="11.7109375" style="227" hidden="1" customWidth="1"/>
    <col min="15" max="16384" width="21.140625" style="227" hidden="1"/>
  </cols>
  <sheetData>
    <row r="1" spans="2:9" x14ac:dyDescent="0.2">
      <c r="B1" s="458" t="s">
        <v>332</v>
      </c>
      <c r="C1" s="458"/>
      <c r="D1" s="458"/>
    </row>
    <row r="2" spans="2:9" x14ac:dyDescent="0.2">
      <c r="B2" s="209"/>
      <c r="C2" s="209"/>
      <c r="D2" s="209"/>
    </row>
    <row r="3" spans="2:9" ht="18" x14ac:dyDescent="0.2">
      <c r="B3" s="400" t="s">
        <v>368</v>
      </c>
      <c r="C3" s="166"/>
      <c r="D3" s="166"/>
      <c r="E3" s="166"/>
      <c r="F3" s="166"/>
      <c r="G3" s="166"/>
      <c r="H3" s="166"/>
    </row>
    <row r="4" spans="2:9" ht="18" x14ac:dyDescent="0.2">
      <c r="B4" s="400" t="s">
        <v>0</v>
      </c>
      <c r="C4" s="166"/>
      <c r="D4" s="166"/>
      <c r="E4" s="166"/>
      <c r="F4" s="166"/>
      <c r="G4" s="166"/>
      <c r="H4" s="166"/>
    </row>
    <row r="5" spans="2:9" ht="18" x14ac:dyDescent="0.2">
      <c r="B5" s="405" t="s">
        <v>67</v>
      </c>
      <c r="C5" s="198"/>
      <c r="D5" s="198"/>
      <c r="E5" s="198"/>
      <c r="F5" s="198"/>
      <c r="G5" s="198"/>
      <c r="H5" s="198"/>
    </row>
    <row r="6" spans="2:9" ht="15.75" x14ac:dyDescent="0.2">
      <c r="B6" s="207"/>
      <c r="C6" s="207"/>
      <c r="D6" s="207"/>
      <c r="E6" s="207"/>
      <c r="F6" s="207"/>
      <c r="G6" s="207"/>
      <c r="H6" s="207"/>
    </row>
    <row r="7" spans="2:9" ht="15.75" x14ac:dyDescent="0.25">
      <c r="B7" s="449" t="s">
        <v>2</v>
      </c>
      <c r="C7" s="449"/>
      <c r="D7" s="55" t="str">
        <f>IF(ISBLANK('1. Information'!D6),"",'1. Information'!D6)</f>
        <v>Fresno</v>
      </c>
      <c r="F7" s="205" t="s">
        <v>3</v>
      </c>
      <c r="G7" s="89">
        <f>IF(ISBLANK('1. Information'!D5),"",'1. Information'!D5)</f>
        <v>43223</v>
      </c>
      <c r="H7" s="63"/>
    </row>
    <row r="8" spans="2:9" ht="15.75" x14ac:dyDescent="0.25">
      <c r="B8" s="15"/>
      <c r="C8" s="15"/>
      <c r="D8" s="15"/>
      <c r="F8" s="15"/>
      <c r="G8" s="199"/>
      <c r="H8" s="63"/>
    </row>
    <row r="9" spans="2:9" ht="18.75" thickBot="1" x14ac:dyDescent="0.3">
      <c r="B9" s="406" t="s">
        <v>385</v>
      </c>
      <c r="C9" s="189"/>
      <c r="D9" s="189"/>
      <c r="E9" s="189"/>
      <c r="F9" s="189"/>
      <c r="G9" s="189"/>
      <c r="H9" s="189"/>
      <c r="I9" s="231"/>
    </row>
    <row r="10" spans="2:9" ht="16.5" thickTop="1" x14ac:dyDescent="0.25">
      <c r="B10" s="14"/>
      <c r="C10" s="14"/>
      <c r="D10" s="14"/>
      <c r="E10" s="14"/>
      <c r="F10" s="14"/>
      <c r="G10" s="14"/>
      <c r="H10" s="14"/>
    </row>
    <row r="11" spans="2:9" x14ac:dyDescent="0.2">
      <c r="C11" s="73" t="s">
        <v>59</v>
      </c>
      <c r="D11" s="73" t="s">
        <v>61</v>
      </c>
      <c r="E11" s="73" t="s">
        <v>65</v>
      </c>
      <c r="F11" s="73" t="s">
        <v>350</v>
      </c>
      <c r="G11" s="73" t="s">
        <v>351</v>
      </c>
      <c r="H11" s="73" t="s">
        <v>352</v>
      </c>
      <c r="I11" s="73" t="s">
        <v>361</v>
      </c>
    </row>
    <row r="12" spans="2:9" s="331" customFormat="1" ht="31.5" x14ac:dyDescent="0.25">
      <c r="B12" s="286" t="s">
        <v>177</v>
      </c>
      <c r="C12" s="144" t="s">
        <v>20</v>
      </c>
      <c r="D12" s="144" t="s">
        <v>238</v>
      </c>
      <c r="E12" s="76" t="s">
        <v>234</v>
      </c>
      <c r="F12" s="65" t="s">
        <v>146</v>
      </c>
      <c r="G12" s="76" t="s">
        <v>346</v>
      </c>
      <c r="H12" s="76" t="s">
        <v>347</v>
      </c>
      <c r="I12" s="65" t="s">
        <v>348</v>
      </c>
    </row>
    <row r="13" spans="2:9" x14ac:dyDescent="0.2">
      <c r="B13" s="219">
        <v>1</v>
      </c>
      <c r="C13" s="328" t="str">
        <f t="shared" ref="C13:C52" si="0">IF(NOT(COUNTA(G13:H13)),"",VLOOKUP($D$7,Info_County_Code,2,FALSE))</f>
        <v/>
      </c>
      <c r="D13" s="329" t="s">
        <v>44</v>
      </c>
      <c r="E13" s="320"/>
      <c r="F13" s="200" t="s">
        <v>68</v>
      </c>
      <c r="G13" s="203"/>
      <c r="H13" s="203"/>
      <c r="I13" s="201">
        <f>SUM(G13:H13)</f>
        <v>0</v>
      </c>
    </row>
    <row r="14" spans="2:9" x14ac:dyDescent="0.2">
      <c r="B14" s="219">
        <v>2</v>
      </c>
      <c r="C14" s="328" t="str">
        <f t="shared" si="0"/>
        <v/>
      </c>
      <c r="D14" s="329" t="s">
        <v>45</v>
      </c>
      <c r="E14" s="320"/>
      <c r="F14" s="200" t="s">
        <v>68</v>
      </c>
      <c r="G14" s="203"/>
      <c r="H14" s="203"/>
      <c r="I14" s="201">
        <f t="shared" ref="I14:I52" si="1">SUM(G14:H14)</f>
        <v>0</v>
      </c>
    </row>
    <row r="15" spans="2:9" x14ac:dyDescent="0.2">
      <c r="B15" s="219">
        <v>3</v>
      </c>
      <c r="C15" s="328" t="str">
        <f t="shared" si="0"/>
        <v/>
      </c>
      <c r="D15" s="329" t="s">
        <v>46</v>
      </c>
      <c r="E15" s="320"/>
      <c r="F15" s="200" t="s">
        <v>68</v>
      </c>
      <c r="G15" s="203"/>
      <c r="H15" s="203"/>
      <c r="I15" s="201">
        <f t="shared" si="1"/>
        <v>0</v>
      </c>
    </row>
    <row r="16" spans="2:9" x14ac:dyDescent="0.2">
      <c r="B16" s="219">
        <v>4</v>
      </c>
      <c r="C16" s="328" t="str">
        <f t="shared" si="0"/>
        <v/>
      </c>
      <c r="D16" s="329" t="s">
        <v>47</v>
      </c>
      <c r="E16" s="320"/>
      <c r="F16" s="200" t="s">
        <v>68</v>
      </c>
      <c r="G16" s="203"/>
      <c r="H16" s="203"/>
      <c r="I16" s="201">
        <f t="shared" si="1"/>
        <v>0</v>
      </c>
    </row>
    <row r="17" spans="2:11" x14ac:dyDescent="0.2">
      <c r="B17" s="219">
        <v>5</v>
      </c>
      <c r="C17" s="328" t="str">
        <f t="shared" si="0"/>
        <v/>
      </c>
      <c r="D17" s="329" t="s">
        <v>48</v>
      </c>
      <c r="E17" s="320"/>
      <c r="F17" s="200" t="s">
        <v>68</v>
      </c>
      <c r="G17" s="203"/>
      <c r="H17" s="203"/>
      <c r="I17" s="201">
        <f t="shared" si="1"/>
        <v>0</v>
      </c>
    </row>
    <row r="18" spans="2:11" x14ac:dyDescent="0.2">
      <c r="B18" s="219">
        <v>6</v>
      </c>
      <c r="C18" s="328" t="str">
        <f t="shared" si="0"/>
        <v/>
      </c>
      <c r="D18" s="329" t="s">
        <v>49</v>
      </c>
      <c r="E18" s="320"/>
      <c r="F18" s="200" t="s">
        <v>68</v>
      </c>
      <c r="G18" s="203"/>
      <c r="H18" s="203"/>
      <c r="I18" s="201">
        <f t="shared" si="1"/>
        <v>0</v>
      </c>
    </row>
    <row r="19" spans="2:11" x14ac:dyDescent="0.2">
      <c r="B19" s="219">
        <v>7</v>
      </c>
      <c r="C19" s="328" t="str">
        <f t="shared" si="0"/>
        <v/>
      </c>
      <c r="D19" s="329" t="s">
        <v>50</v>
      </c>
      <c r="E19" s="320"/>
      <c r="F19" s="200" t="s">
        <v>68</v>
      </c>
      <c r="G19" s="203"/>
      <c r="H19" s="203"/>
      <c r="I19" s="201">
        <f t="shared" si="1"/>
        <v>0</v>
      </c>
    </row>
    <row r="20" spans="2:11" x14ac:dyDescent="0.2">
      <c r="B20" s="219">
        <v>8</v>
      </c>
      <c r="C20" s="328" t="str">
        <f t="shared" si="0"/>
        <v/>
      </c>
      <c r="D20" s="329" t="s">
        <v>51</v>
      </c>
      <c r="E20" s="320"/>
      <c r="F20" s="200" t="s">
        <v>68</v>
      </c>
      <c r="G20" s="203"/>
      <c r="H20" s="203"/>
      <c r="I20" s="201">
        <f t="shared" si="1"/>
        <v>0</v>
      </c>
    </row>
    <row r="21" spans="2:11" x14ac:dyDescent="0.2">
      <c r="B21" s="219">
        <v>9</v>
      </c>
      <c r="C21" s="328" t="str">
        <f t="shared" si="0"/>
        <v/>
      </c>
      <c r="D21" s="329" t="s">
        <v>52</v>
      </c>
      <c r="E21" s="320"/>
      <c r="F21" s="200" t="s">
        <v>68</v>
      </c>
      <c r="G21" s="203"/>
      <c r="H21" s="203"/>
      <c r="I21" s="201">
        <f t="shared" si="1"/>
        <v>0</v>
      </c>
    </row>
    <row r="22" spans="2:11" x14ac:dyDescent="0.2">
      <c r="B22" s="219">
        <v>10</v>
      </c>
      <c r="C22" s="328" t="str">
        <f t="shared" si="0"/>
        <v/>
      </c>
      <c r="D22" s="329" t="s">
        <v>53</v>
      </c>
      <c r="E22" s="320"/>
      <c r="F22" s="200" t="s">
        <v>68</v>
      </c>
      <c r="G22" s="203"/>
      <c r="H22" s="203"/>
      <c r="I22" s="201">
        <f t="shared" si="1"/>
        <v>0</v>
      </c>
    </row>
    <row r="23" spans="2:11" x14ac:dyDescent="0.2">
      <c r="B23" s="219">
        <v>11</v>
      </c>
      <c r="C23" s="328" t="str">
        <f t="shared" si="0"/>
        <v/>
      </c>
      <c r="D23" s="329" t="s">
        <v>44</v>
      </c>
      <c r="E23" s="320"/>
      <c r="F23" s="202" t="s">
        <v>69</v>
      </c>
      <c r="G23" s="203"/>
      <c r="H23" s="203"/>
      <c r="I23" s="201">
        <f t="shared" si="1"/>
        <v>0</v>
      </c>
    </row>
    <row r="24" spans="2:11" x14ac:dyDescent="0.2">
      <c r="B24" s="219">
        <v>12</v>
      </c>
      <c r="C24" s="328" t="str">
        <f t="shared" si="0"/>
        <v/>
      </c>
      <c r="D24" s="329" t="s">
        <v>45</v>
      </c>
      <c r="E24" s="320"/>
      <c r="F24" s="202" t="s">
        <v>69</v>
      </c>
      <c r="G24" s="203"/>
      <c r="H24" s="203"/>
      <c r="I24" s="201">
        <f t="shared" si="1"/>
        <v>0</v>
      </c>
    </row>
    <row r="25" spans="2:11" x14ac:dyDescent="0.2">
      <c r="B25" s="219">
        <v>13</v>
      </c>
      <c r="C25" s="328" t="str">
        <f t="shared" si="0"/>
        <v/>
      </c>
      <c r="D25" s="329" t="s">
        <v>46</v>
      </c>
      <c r="E25" s="320"/>
      <c r="F25" s="202" t="s">
        <v>69</v>
      </c>
      <c r="G25" s="203"/>
      <c r="H25" s="203"/>
      <c r="I25" s="201">
        <f t="shared" si="1"/>
        <v>0</v>
      </c>
    </row>
    <row r="26" spans="2:11" x14ac:dyDescent="0.2">
      <c r="B26" s="219">
        <v>14</v>
      </c>
      <c r="C26" s="328" t="str">
        <f t="shared" si="0"/>
        <v/>
      </c>
      <c r="D26" s="329" t="s">
        <v>47</v>
      </c>
      <c r="E26" s="320"/>
      <c r="F26" s="202" t="s">
        <v>69</v>
      </c>
      <c r="G26" s="203"/>
      <c r="H26" s="203"/>
      <c r="I26" s="201">
        <f t="shared" si="1"/>
        <v>0</v>
      </c>
    </row>
    <row r="27" spans="2:11" x14ac:dyDescent="0.2">
      <c r="B27" s="219">
        <v>15</v>
      </c>
      <c r="C27" s="328" t="str">
        <f t="shared" si="0"/>
        <v/>
      </c>
      <c r="D27" s="329" t="s">
        <v>48</v>
      </c>
      <c r="E27" s="320"/>
      <c r="F27" s="202" t="s">
        <v>69</v>
      </c>
      <c r="G27" s="203"/>
      <c r="H27" s="203"/>
      <c r="I27" s="201">
        <f t="shared" si="1"/>
        <v>0</v>
      </c>
    </row>
    <row r="28" spans="2:11" x14ac:dyDescent="0.2">
      <c r="B28" s="219">
        <v>16</v>
      </c>
      <c r="C28" s="328" t="str">
        <f t="shared" si="0"/>
        <v/>
      </c>
      <c r="D28" s="329" t="s">
        <v>49</v>
      </c>
      <c r="E28" s="320"/>
      <c r="F28" s="202" t="s">
        <v>69</v>
      </c>
      <c r="G28" s="203"/>
      <c r="H28" s="203"/>
      <c r="I28" s="201">
        <f t="shared" si="1"/>
        <v>0</v>
      </c>
      <c r="K28" s="384"/>
    </row>
    <row r="29" spans="2:11" x14ac:dyDescent="0.2">
      <c r="B29" s="219">
        <v>17</v>
      </c>
      <c r="C29" s="328" t="str">
        <f t="shared" si="0"/>
        <v/>
      </c>
      <c r="D29" s="329" t="s">
        <v>50</v>
      </c>
      <c r="E29" s="320"/>
      <c r="F29" s="202" t="s">
        <v>69</v>
      </c>
      <c r="G29" s="203"/>
      <c r="H29" s="203"/>
      <c r="I29" s="201">
        <f t="shared" si="1"/>
        <v>0</v>
      </c>
    </row>
    <row r="30" spans="2:11" x14ac:dyDescent="0.2">
      <c r="B30" s="219">
        <v>18</v>
      </c>
      <c r="C30" s="328" t="str">
        <f t="shared" si="0"/>
        <v/>
      </c>
      <c r="D30" s="329" t="s">
        <v>51</v>
      </c>
      <c r="E30" s="320"/>
      <c r="F30" s="202" t="s">
        <v>69</v>
      </c>
      <c r="G30" s="203"/>
      <c r="H30" s="203"/>
      <c r="I30" s="201">
        <f t="shared" si="1"/>
        <v>0</v>
      </c>
    </row>
    <row r="31" spans="2:11" x14ac:dyDescent="0.2">
      <c r="B31" s="219">
        <v>19</v>
      </c>
      <c r="C31" s="328" t="str">
        <f t="shared" si="0"/>
        <v/>
      </c>
      <c r="D31" s="329" t="s">
        <v>52</v>
      </c>
      <c r="E31" s="320"/>
      <c r="F31" s="202" t="s">
        <v>69</v>
      </c>
      <c r="G31" s="203"/>
      <c r="H31" s="203"/>
      <c r="I31" s="201">
        <f t="shared" si="1"/>
        <v>0</v>
      </c>
    </row>
    <row r="32" spans="2:11" x14ac:dyDescent="0.2">
      <c r="B32" s="219">
        <v>20</v>
      </c>
      <c r="C32" s="328" t="str">
        <f t="shared" si="0"/>
        <v/>
      </c>
      <c r="D32" s="329" t="s">
        <v>53</v>
      </c>
      <c r="E32" s="320"/>
      <c r="F32" s="202" t="s">
        <v>69</v>
      </c>
      <c r="G32" s="203"/>
      <c r="H32" s="203"/>
      <c r="I32" s="201">
        <f t="shared" si="1"/>
        <v>0</v>
      </c>
    </row>
    <row r="33" spans="2:9" x14ac:dyDescent="0.2">
      <c r="B33" s="219">
        <v>21</v>
      </c>
      <c r="C33" s="328" t="str">
        <f t="shared" si="0"/>
        <v/>
      </c>
      <c r="D33" s="329" t="s">
        <v>44</v>
      </c>
      <c r="E33" s="320"/>
      <c r="F33" s="202" t="s">
        <v>70</v>
      </c>
      <c r="G33" s="203"/>
      <c r="H33" s="203"/>
      <c r="I33" s="201">
        <f t="shared" si="1"/>
        <v>0</v>
      </c>
    </row>
    <row r="34" spans="2:9" x14ac:dyDescent="0.2">
      <c r="B34" s="219">
        <v>22</v>
      </c>
      <c r="C34" s="328" t="str">
        <f t="shared" si="0"/>
        <v/>
      </c>
      <c r="D34" s="329" t="s">
        <v>45</v>
      </c>
      <c r="E34" s="320"/>
      <c r="F34" s="202" t="s">
        <v>70</v>
      </c>
      <c r="G34" s="203"/>
      <c r="H34" s="203"/>
      <c r="I34" s="201">
        <f t="shared" si="1"/>
        <v>0</v>
      </c>
    </row>
    <row r="35" spans="2:9" x14ac:dyDescent="0.2">
      <c r="B35" s="219">
        <v>23</v>
      </c>
      <c r="C35" s="328" t="str">
        <f t="shared" si="0"/>
        <v/>
      </c>
      <c r="D35" s="329" t="s">
        <v>46</v>
      </c>
      <c r="E35" s="320"/>
      <c r="F35" s="202" t="s">
        <v>70</v>
      </c>
      <c r="G35" s="203"/>
      <c r="H35" s="203"/>
      <c r="I35" s="201">
        <f t="shared" si="1"/>
        <v>0</v>
      </c>
    </row>
    <row r="36" spans="2:9" x14ac:dyDescent="0.2">
      <c r="B36" s="219">
        <v>24</v>
      </c>
      <c r="C36" s="328" t="str">
        <f t="shared" si="0"/>
        <v/>
      </c>
      <c r="D36" s="329" t="s">
        <v>47</v>
      </c>
      <c r="E36" s="320"/>
      <c r="F36" s="202" t="s">
        <v>70</v>
      </c>
      <c r="G36" s="203"/>
      <c r="H36" s="203"/>
      <c r="I36" s="201">
        <f t="shared" si="1"/>
        <v>0</v>
      </c>
    </row>
    <row r="37" spans="2:9" x14ac:dyDescent="0.2">
      <c r="B37" s="219">
        <v>25</v>
      </c>
      <c r="C37" s="328" t="str">
        <f t="shared" si="0"/>
        <v/>
      </c>
      <c r="D37" s="329" t="s">
        <v>48</v>
      </c>
      <c r="E37" s="320"/>
      <c r="F37" s="202" t="s">
        <v>70</v>
      </c>
      <c r="G37" s="203"/>
      <c r="H37" s="203"/>
      <c r="I37" s="201">
        <f t="shared" si="1"/>
        <v>0</v>
      </c>
    </row>
    <row r="38" spans="2:9" x14ac:dyDescent="0.2">
      <c r="B38" s="219">
        <v>26</v>
      </c>
      <c r="C38" s="328" t="str">
        <f t="shared" si="0"/>
        <v/>
      </c>
      <c r="D38" s="329" t="s">
        <v>49</v>
      </c>
      <c r="E38" s="320"/>
      <c r="F38" s="202" t="s">
        <v>70</v>
      </c>
      <c r="G38" s="203"/>
      <c r="H38" s="203"/>
      <c r="I38" s="201">
        <f t="shared" si="1"/>
        <v>0</v>
      </c>
    </row>
    <row r="39" spans="2:9" x14ac:dyDescent="0.2">
      <c r="B39" s="219">
        <v>27</v>
      </c>
      <c r="C39" s="328" t="str">
        <f t="shared" si="0"/>
        <v/>
      </c>
      <c r="D39" s="329" t="s">
        <v>50</v>
      </c>
      <c r="E39" s="320"/>
      <c r="F39" s="202" t="s">
        <v>70</v>
      </c>
      <c r="G39" s="203"/>
      <c r="H39" s="203"/>
      <c r="I39" s="201">
        <f t="shared" si="1"/>
        <v>0</v>
      </c>
    </row>
    <row r="40" spans="2:9" x14ac:dyDescent="0.2">
      <c r="B40" s="219">
        <v>28</v>
      </c>
      <c r="C40" s="328" t="str">
        <f t="shared" si="0"/>
        <v/>
      </c>
      <c r="D40" s="329" t="s">
        <v>51</v>
      </c>
      <c r="E40" s="320"/>
      <c r="F40" s="202" t="s">
        <v>70</v>
      </c>
      <c r="G40" s="203"/>
      <c r="H40" s="203"/>
      <c r="I40" s="201">
        <f t="shared" si="1"/>
        <v>0</v>
      </c>
    </row>
    <row r="41" spans="2:9" x14ac:dyDescent="0.2">
      <c r="B41" s="219">
        <v>29</v>
      </c>
      <c r="C41" s="328" t="str">
        <f t="shared" si="0"/>
        <v/>
      </c>
      <c r="D41" s="329" t="s">
        <v>52</v>
      </c>
      <c r="E41" s="320"/>
      <c r="F41" s="202" t="s">
        <v>70</v>
      </c>
      <c r="G41" s="203"/>
      <c r="H41" s="203"/>
      <c r="I41" s="201">
        <f t="shared" si="1"/>
        <v>0</v>
      </c>
    </row>
    <row r="42" spans="2:9" x14ac:dyDescent="0.2">
      <c r="B42" s="219">
        <v>30</v>
      </c>
      <c r="C42" s="328" t="str">
        <f t="shared" si="0"/>
        <v/>
      </c>
      <c r="D42" s="329" t="s">
        <v>53</v>
      </c>
      <c r="E42" s="320"/>
      <c r="F42" s="202" t="s">
        <v>70</v>
      </c>
      <c r="G42" s="203"/>
      <c r="H42" s="203"/>
      <c r="I42" s="201">
        <f t="shared" si="1"/>
        <v>0</v>
      </c>
    </row>
    <row r="43" spans="2:9" x14ac:dyDescent="0.2">
      <c r="B43" s="219">
        <v>31</v>
      </c>
      <c r="C43" s="328" t="str">
        <f t="shared" si="0"/>
        <v/>
      </c>
      <c r="D43" s="329" t="s">
        <v>44</v>
      </c>
      <c r="E43" s="320"/>
      <c r="F43" s="202" t="s">
        <v>71</v>
      </c>
      <c r="G43" s="203"/>
      <c r="H43" s="203"/>
      <c r="I43" s="201">
        <f t="shared" si="1"/>
        <v>0</v>
      </c>
    </row>
    <row r="44" spans="2:9" x14ac:dyDescent="0.2">
      <c r="B44" s="219">
        <v>32</v>
      </c>
      <c r="C44" s="328" t="str">
        <f t="shared" si="0"/>
        <v/>
      </c>
      <c r="D44" s="329" t="s">
        <v>45</v>
      </c>
      <c r="E44" s="320"/>
      <c r="F44" s="202" t="s">
        <v>71</v>
      </c>
      <c r="G44" s="203"/>
      <c r="H44" s="203"/>
      <c r="I44" s="201">
        <f t="shared" si="1"/>
        <v>0</v>
      </c>
    </row>
    <row r="45" spans="2:9" x14ac:dyDescent="0.2">
      <c r="B45" s="219">
        <v>33</v>
      </c>
      <c r="C45" s="328" t="str">
        <f t="shared" si="0"/>
        <v/>
      </c>
      <c r="D45" s="329" t="s">
        <v>46</v>
      </c>
      <c r="E45" s="320"/>
      <c r="F45" s="202" t="s">
        <v>71</v>
      </c>
      <c r="G45" s="203"/>
      <c r="H45" s="203"/>
      <c r="I45" s="201">
        <f t="shared" si="1"/>
        <v>0</v>
      </c>
    </row>
    <row r="46" spans="2:9" x14ac:dyDescent="0.2">
      <c r="B46" s="219">
        <v>34</v>
      </c>
      <c r="C46" s="328" t="str">
        <f t="shared" si="0"/>
        <v/>
      </c>
      <c r="D46" s="329" t="s">
        <v>47</v>
      </c>
      <c r="E46" s="320"/>
      <c r="F46" s="202" t="s">
        <v>71</v>
      </c>
      <c r="G46" s="203"/>
      <c r="H46" s="203"/>
      <c r="I46" s="201">
        <f t="shared" si="1"/>
        <v>0</v>
      </c>
    </row>
    <row r="47" spans="2:9" x14ac:dyDescent="0.2">
      <c r="B47" s="219">
        <v>35</v>
      </c>
      <c r="C47" s="328" t="str">
        <f t="shared" si="0"/>
        <v/>
      </c>
      <c r="D47" s="329" t="s">
        <v>48</v>
      </c>
      <c r="E47" s="320"/>
      <c r="F47" s="202" t="s">
        <v>71</v>
      </c>
      <c r="G47" s="203"/>
      <c r="H47" s="203"/>
      <c r="I47" s="201">
        <f t="shared" si="1"/>
        <v>0</v>
      </c>
    </row>
    <row r="48" spans="2:9" x14ac:dyDescent="0.2">
      <c r="B48" s="219">
        <v>36</v>
      </c>
      <c r="C48" s="328" t="str">
        <f t="shared" si="0"/>
        <v/>
      </c>
      <c r="D48" s="329" t="s">
        <v>49</v>
      </c>
      <c r="E48" s="320"/>
      <c r="F48" s="202" t="s">
        <v>71</v>
      </c>
      <c r="G48" s="203"/>
      <c r="H48" s="203"/>
      <c r="I48" s="201">
        <f t="shared" si="1"/>
        <v>0</v>
      </c>
    </row>
    <row r="49" spans="2:9" x14ac:dyDescent="0.2">
      <c r="B49" s="219">
        <v>37</v>
      </c>
      <c r="C49" s="328" t="str">
        <f t="shared" si="0"/>
        <v/>
      </c>
      <c r="D49" s="329" t="s">
        <v>50</v>
      </c>
      <c r="E49" s="320"/>
      <c r="F49" s="202" t="s">
        <v>71</v>
      </c>
      <c r="G49" s="203"/>
      <c r="H49" s="203"/>
      <c r="I49" s="201">
        <f t="shared" si="1"/>
        <v>0</v>
      </c>
    </row>
    <row r="50" spans="2:9" x14ac:dyDescent="0.2">
      <c r="B50" s="219">
        <v>38</v>
      </c>
      <c r="C50" s="328" t="str">
        <f t="shared" si="0"/>
        <v/>
      </c>
      <c r="D50" s="329" t="s">
        <v>51</v>
      </c>
      <c r="E50" s="320"/>
      <c r="F50" s="202" t="s">
        <v>71</v>
      </c>
      <c r="G50" s="203"/>
      <c r="H50" s="203"/>
      <c r="I50" s="201">
        <f t="shared" si="1"/>
        <v>0</v>
      </c>
    </row>
    <row r="51" spans="2:9" x14ac:dyDescent="0.2">
      <c r="B51" s="219">
        <v>39</v>
      </c>
      <c r="C51" s="328" t="str">
        <f t="shared" si="0"/>
        <v/>
      </c>
      <c r="D51" s="329" t="s">
        <v>52</v>
      </c>
      <c r="E51" s="320"/>
      <c r="F51" s="202" t="s">
        <v>71</v>
      </c>
      <c r="G51" s="203"/>
      <c r="H51" s="203"/>
      <c r="I51" s="201">
        <f t="shared" si="1"/>
        <v>0</v>
      </c>
    </row>
    <row r="52" spans="2:9" x14ac:dyDescent="0.2">
      <c r="B52" s="219">
        <v>40</v>
      </c>
      <c r="C52" s="328" t="str">
        <f t="shared" si="0"/>
        <v/>
      </c>
      <c r="D52" s="329" t="s">
        <v>53</v>
      </c>
      <c r="E52" s="320"/>
      <c r="F52" s="202" t="s">
        <v>71</v>
      </c>
      <c r="G52" s="203"/>
      <c r="H52" s="203"/>
      <c r="I52" s="201">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38"/>
  <sheetViews>
    <sheetView topLeftCell="A4" zoomScale="85" zoomScaleNormal="85" workbookViewId="0">
      <selection activeCell="A18" sqref="A18:IV18"/>
    </sheetView>
  </sheetViews>
  <sheetFormatPr defaultColWidth="0" defaultRowHeight="15" zeroHeight="1" x14ac:dyDescent="0.2"/>
  <cols>
    <col min="1" max="1" width="2.7109375" style="218" customWidth="1"/>
    <col min="2" max="2" width="9.140625" style="218" customWidth="1"/>
    <col min="3" max="3" width="137" style="218" customWidth="1"/>
    <col min="4" max="17" width="0" style="218" hidden="1" customWidth="1"/>
    <col min="18" max="16384" width="9.140625" style="218" hidden="1"/>
  </cols>
  <sheetData>
    <row r="1" spans="1:6" x14ac:dyDescent="0.2">
      <c r="A1" s="458" t="s">
        <v>332</v>
      </c>
      <c r="B1" s="458"/>
      <c r="C1" s="458"/>
    </row>
    <row r="2" spans="1:6" x14ac:dyDescent="0.2">
      <c r="A2" s="412"/>
      <c r="B2" s="412"/>
      <c r="C2" s="412"/>
    </row>
    <row r="3" spans="1:6" s="227" customFormat="1" ht="18" x14ac:dyDescent="0.2">
      <c r="B3" s="400" t="s">
        <v>368</v>
      </c>
      <c r="C3" s="166"/>
      <c r="D3" s="166"/>
      <c r="E3" s="166"/>
      <c r="F3" s="166"/>
    </row>
    <row r="4" spans="1:6" s="227" customFormat="1" ht="18" x14ac:dyDescent="0.2">
      <c r="B4" s="400" t="s">
        <v>0</v>
      </c>
      <c r="C4" s="166"/>
      <c r="D4" s="166"/>
      <c r="E4" s="166"/>
      <c r="F4" s="166"/>
    </row>
    <row r="5" spans="1:6" s="227" customFormat="1" ht="18" x14ac:dyDescent="0.2">
      <c r="B5" s="405" t="s">
        <v>423</v>
      </c>
      <c r="C5" s="198"/>
      <c r="D5" s="198"/>
      <c r="E5" s="198"/>
      <c r="F5" s="198"/>
    </row>
    <row r="6" spans="1:6" s="227" customFormat="1" ht="18" x14ac:dyDescent="0.2">
      <c r="B6" s="405"/>
      <c r="C6" s="198"/>
      <c r="D6" s="198"/>
      <c r="E6" s="198"/>
      <c r="F6" s="198"/>
    </row>
    <row r="7" spans="1:6" ht="15.75" x14ac:dyDescent="0.25">
      <c r="B7" s="413"/>
      <c r="C7" s="418" t="s">
        <v>423</v>
      </c>
    </row>
    <row r="8" spans="1:6" ht="33.75" customHeight="1" x14ac:dyDescent="0.2">
      <c r="B8" s="415">
        <v>1</v>
      </c>
      <c r="C8" s="417"/>
    </row>
    <row r="9" spans="1:6" ht="33.75" customHeight="1" x14ac:dyDescent="0.2">
      <c r="B9" s="416">
        <v>2</v>
      </c>
      <c r="C9" s="414"/>
    </row>
    <row r="10" spans="1:6" ht="33.75" customHeight="1" x14ac:dyDescent="0.2">
      <c r="B10" s="416">
        <v>3</v>
      </c>
      <c r="C10" s="414"/>
    </row>
    <row r="11" spans="1:6" ht="33.75" customHeight="1" x14ac:dyDescent="0.2">
      <c r="B11" s="415">
        <v>4</v>
      </c>
      <c r="C11" s="414"/>
    </row>
    <row r="12" spans="1:6" ht="33.75" customHeight="1" x14ac:dyDescent="0.2">
      <c r="B12" s="416">
        <v>5</v>
      </c>
      <c r="C12" s="414"/>
    </row>
    <row r="13" spans="1:6" ht="33.75" customHeight="1" x14ac:dyDescent="0.2">
      <c r="B13" s="416">
        <v>6</v>
      </c>
      <c r="C13" s="414"/>
    </row>
    <row r="14" spans="1:6" ht="33.75" customHeight="1" x14ac:dyDescent="0.2">
      <c r="B14" s="415">
        <v>7</v>
      </c>
      <c r="C14" s="414"/>
    </row>
    <row r="15" spans="1:6" ht="33.75" customHeight="1" x14ac:dyDescent="0.2">
      <c r="B15" s="416">
        <v>8</v>
      </c>
      <c r="C15" s="414"/>
    </row>
    <row r="16" spans="1:6" ht="33.75" customHeight="1" x14ac:dyDescent="0.2">
      <c r="B16" s="416">
        <v>9</v>
      </c>
      <c r="C16" s="414"/>
    </row>
    <row r="17" spans="2:17" ht="33.75" customHeight="1" x14ac:dyDescent="0.2">
      <c r="B17" s="415">
        <v>10</v>
      </c>
      <c r="C17" s="414"/>
    </row>
    <row r="20" spans="2:17" hidden="1" x14ac:dyDescent="0.2">
      <c r="Q20" s="383"/>
    </row>
    <row r="31" spans="2:17" hidden="1" x14ac:dyDescent="0.2">
      <c r="J31" s="395"/>
    </row>
    <row r="35" spans="11:14" hidden="1" x14ac:dyDescent="0.2">
      <c r="K35" s="393"/>
    </row>
    <row r="37" spans="11:14" hidden="1" x14ac:dyDescent="0.2">
      <c r="L37" s="383"/>
    </row>
    <row r="38" spans="11:14" hidden="1" x14ac:dyDescent="0.2">
      <c r="N38" s="383"/>
    </row>
  </sheetData>
  <sheetProtection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O1" sqref="O1:IV65536"/>
    </sheetView>
  </sheetViews>
  <sheetFormatPr defaultColWidth="0" defaultRowHeight="15" zeroHeight="1" x14ac:dyDescent="0.2"/>
  <cols>
    <col min="1" max="1" width="18.140625" style="218" bestFit="1" customWidth="1"/>
    <col min="2" max="2" width="5.42578125" style="218" customWidth="1"/>
    <col min="3" max="3" width="18.85546875" style="218" bestFit="1" customWidth="1"/>
    <col min="4" max="4" width="17.85546875" style="218" customWidth="1"/>
    <col min="5" max="5" width="18" style="218" customWidth="1"/>
    <col min="6" max="6" width="36.85546875" style="218" bestFit="1" customWidth="1"/>
    <col min="7" max="7" width="27.140625" style="218" customWidth="1"/>
    <col min="8" max="8" width="31.5703125" style="218" bestFit="1" customWidth="1"/>
    <col min="9" max="9" width="25.28515625" style="218" customWidth="1"/>
    <col min="10" max="10" width="24.140625" style="218" customWidth="1"/>
    <col min="11" max="11" width="20" style="218" customWidth="1"/>
    <col min="12" max="12" width="35.85546875" style="218" customWidth="1"/>
    <col min="13" max="13" width="23.140625" style="218" bestFit="1" customWidth="1"/>
    <col min="14" max="14" width="11.7109375" style="218" customWidth="1"/>
    <col min="15" max="15" width="0" style="218" hidden="1" customWidth="1"/>
    <col min="16" max="16384" width="9.140625" style="218" hidden="1"/>
  </cols>
  <sheetData>
    <row r="1" spans="1:14" ht="32.25" thickBot="1" x14ac:dyDescent="0.3">
      <c r="A1" s="505" t="s">
        <v>224</v>
      </c>
      <c r="B1" s="506"/>
      <c r="C1" s="332" t="s">
        <v>225</v>
      </c>
      <c r="D1" s="333" t="s">
        <v>223</v>
      </c>
      <c r="E1" s="333" t="s">
        <v>226</v>
      </c>
      <c r="F1" s="333" t="s">
        <v>209</v>
      </c>
      <c r="G1" s="333" t="s">
        <v>210</v>
      </c>
      <c r="H1" s="333" t="s">
        <v>227</v>
      </c>
      <c r="I1" s="333" t="s">
        <v>228</v>
      </c>
      <c r="J1" s="333" t="s">
        <v>247</v>
      </c>
      <c r="K1" s="333" t="s">
        <v>240</v>
      </c>
      <c r="L1" s="333" t="s">
        <v>239</v>
      </c>
      <c r="M1" s="332" t="s">
        <v>333</v>
      </c>
      <c r="N1" s="334"/>
    </row>
    <row r="2" spans="1:14" x14ac:dyDescent="0.2">
      <c r="A2" s="335" t="s">
        <v>78</v>
      </c>
      <c r="B2" s="336">
        <v>1</v>
      </c>
      <c r="C2" s="336" t="s">
        <v>243</v>
      </c>
      <c r="D2" s="337" t="s">
        <v>137</v>
      </c>
      <c r="E2" s="337" t="s">
        <v>197</v>
      </c>
      <c r="F2" s="337" t="s">
        <v>180</v>
      </c>
      <c r="G2" s="337" t="s">
        <v>211</v>
      </c>
      <c r="H2" s="337" t="s">
        <v>140</v>
      </c>
      <c r="I2" s="337" t="s">
        <v>231</v>
      </c>
      <c r="J2" s="337" t="s">
        <v>68</v>
      </c>
      <c r="K2" s="338" t="s">
        <v>44</v>
      </c>
      <c r="L2" s="337" t="s">
        <v>149</v>
      </c>
      <c r="M2" s="337" t="s">
        <v>235</v>
      </c>
      <c r="N2" s="339"/>
    </row>
    <row r="3" spans="1:14" x14ac:dyDescent="0.2">
      <c r="A3" s="335" t="s">
        <v>135</v>
      </c>
      <c r="B3" s="336">
        <v>2</v>
      </c>
      <c r="C3" s="336" t="s">
        <v>244</v>
      </c>
      <c r="D3" s="337" t="s">
        <v>138</v>
      </c>
      <c r="E3" s="337" t="s">
        <v>196</v>
      </c>
      <c r="F3" s="337" t="s">
        <v>181</v>
      </c>
      <c r="G3" s="337" t="s">
        <v>212</v>
      </c>
      <c r="H3" s="337" t="s">
        <v>141</v>
      </c>
      <c r="I3" s="337" t="s">
        <v>232</v>
      </c>
      <c r="J3" s="337" t="s">
        <v>69</v>
      </c>
      <c r="K3" s="337" t="s">
        <v>45</v>
      </c>
      <c r="L3" s="337" t="s">
        <v>150</v>
      </c>
      <c r="M3" s="337" t="s">
        <v>236</v>
      </c>
      <c r="N3" s="339"/>
    </row>
    <row r="4" spans="1:14" x14ac:dyDescent="0.2">
      <c r="A4" s="335" t="s">
        <v>79</v>
      </c>
      <c r="B4" s="336">
        <v>3</v>
      </c>
      <c r="C4" s="336"/>
      <c r="D4" s="337"/>
      <c r="E4" s="337"/>
      <c r="F4" s="337" t="s">
        <v>198</v>
      </c>
      <c r="G4" s="337" t="s">
        <v>213</v>
      </c>
      <c r="H4" s="337" t="s">
        <v>142</v>
      </c>
      <c r="I4" s="337"/>
      <c r="J4" s="337" t="s">
        <v>70</v>
      </c>
      <c r="K4" s="337" t="s">
        <v>46</v>
      </c>
      <c r="L4" s="337" t="s">
        <v>151</v>
      </c>
      <c r="M4" s="337" t="s">
        <v>237</v>
      </c>
      <c r="N4" s="339"/>
    </row>
    <row r="5" spans="1:14" x14ac:dyDescent="0.2">
      <c r="A5" s="335" t="s">
        <v>80</v>
      </c>
      <c r="B5" s="336">
        <v>65</v>
      </c>
      <c r="C5" s="336"/>
      <c r="D5" s="337"/>
      <c r="E5" s="337"/>
      <c r="F5" s="337" t="s">
        <v>199</v>
      </c>
      <c r="G5" s="337"/>
      <c r="H5" s="337" t="s">
        <v>143</v>
      </c>
      <c r="I5" s="337"/>
      <c r="J5" s="337" t="s">
        <v>71</v>
      </c>
      <c r="K5" s="337" t="s">
        <v>47</v>
      </c>
      <c r="L5" s="337" t="s">
        <v>152</v>
      </c>
      <c r="M5" s="337"/>
      <c r="N5" s="339"/>
    </row>
    <row r="6" spans="1:14" x14ac:dyDescent="0.2">
      <c r="A6" s="335" t="s">
        <v>81</v>
      </c>
      <c r="B6" s="336">
        <v>4</v>
      </c>
      <c r="C6" s="336"/>
      <c r="D6" s="337"/>
      <c r="E6" s="337"/>
      <c r="F6" s="337" t="s">
        <v>200</v>
      </c>
      <c r="G6" s="337"/>
      <c r="H6" s="337" t="s">
        <v>144</v>
      </c>
      <c r="I6" s="337"/>
      <c r="J6" s="337" t="s">
        <v>72</v>
      </c>
      <c r="K6" s="337" t="s">
        <v>48</v>
      </c>
      <c r="L6" s="337" t="s">
        <v>153</v>
      </c>
      <c r="M6" s="337"/>
      <c r="N6" s="339"/>
    </row>
    <row r="7" spans="1:14" x14ac:dyDescent="0.2">
      <c r="A7" s="335" t="s">
        <v>82</v>
      </c>
      <c r="B7" s="336">
        <v>5</v>
      </c>
      <c r="C7" s="336"/>
      <c r="D7" s="337"/>
      <c r="E7" s="337"/>
      <c r="F7" s="337" t="s">
        <v>175</v>
      </c>
      <c r="G7" s="337"/>
      <c r="H7" s="337"/>
      <c r="I7" s="337"/>
      <c r="J7" s="337" t="s">
        <v>73</v>
      </c>
      <c r="K7" s="337" t="s">
        <v>49</v>
      </c>
      <c r="L7" s="337" t="s">
        <v>33</v>
      </c>
      <c r="M7" s="337"/>
      <c r="N7" s="339"/>
    </row>
    <row r="8" spans="1:14" x14ac:dyDescent="0.2">
      <c r="A8" s="335" t="s">
        <v>83</v>
      </c>
      <c r="B8" s="336">
        <v>6</v>
      </c>
      <c r="C8" s="336"/>
      <c r="D8" s="337"/>
      <c r="E8" s="337"/>
      <c r="F8" s="337" t="s">
        <v>201</v>
      </c>
      <c r="G8" s="337"/>
      <c r="H8" s="337"/>
      <c r="I8" s="337"/>
      <c r="J8" s="337" t="s">
        <v>74</v>
      </c>
      <c r="K8" s="337" t="s">
        <v>50</v>
      </c>
      <c r="L8" s="337"/>
      <c r="M8" s="337"/>
      <c r="N8" s="339"/>
    </row>
    <row r="9" spans="1:14" x14ac:dyDescent="0.2">
      <c r="A9" s="335" t="s">
        <v>84</v>
      </c>
      <c r="B9" s="336">
        <v>7</v>
      </c>
      <c r="C9" s="336"/>
      <c r="D9" s="337"/>
      <c r="E9" s="337"/>
      <c r="F9" s="337" t="s">
        <v>327</v>
      </c>
      <c r="G9" s="337"/>
      <c r="H9" s="337"/>
      <c r="I9" s="337"/>
      <c r="J9" s="337" t="s">
        <v>154</v>
      </c>
      <c r="K9" s="337" t="s">
        <v>51</v>
      </c>
      <c r="L9" s="337"/>
      <c r="M9" s="337"/>
      <c r="N9" s="339"/>
    </row>
    <row r="10" spans="1:14" x14ac:dyDescent="0.2">
      <c r="A10" s="335" t="s">
        <v>85</v>
      </c>
      <c r="B10" s="336">
        <v>8</v>
      </c>
      <c r="C10" s="336"/>
      <c r="D10" s="337"/>
      <c r="E10" s="337"/>
      <c r="F10" s="337"/>
      <c r="G10" s="337"/>
      <c r="H10" s="337"/>
      <c r="I10" s="337"/>
      <c r="J10" s="337" t="s">
        <v>75</v>
      </c>
      <c r="K10" s="337" t="s">
        <v>52</v>
      </c>
      <c r="L10" s="337"/>
      <c r="M10" s="337"/>
      <c r="N10" s="339"/>
    </row>
    <row r="11" spans="1:14" x14ac:dyDescent="0.2">
      <c r="A11" s="335" t="s">
        <v>86</v>
      </c>
      <c r="B11" s="336">
        <v>9</v>
      </c>
      <c r="C11" s="336"/>
      <c r="D11" s="337"/>
      <c r="E11" s="337"/>
      <c r="F11" s="337"/>
      <c r="G11" s="337"/>
      <c r="H11" s="337"/>
      <c r="I11" s="337"/>
      <c r="J11" s="337"/>
      <c r="K11" s="337" t="s">
        <v>53</v>
      </c>
      <c r="L11" s="337"/>
      <c r="M11" s="337"/>
      <c r="N11" s="339"/>
    </row>
    <row r="12" spans="1:14" x14ac:dyDescent="0.2">
      <c r="A12" s="335" t="s">
        <v>87</v>
      </c>
      <c r="B12" s="336">
        <v>10</v>
      </c>
      <c r="C12" s="336"/>
      <c r="D12" s="337"/>
      <c r="E12" s="337"/>
      <c r="F12" s="337"/>
      <c r="G12" s="337"/>
      <c r="H12" s="337"/>
      <c r="I12" s="337"/>
      <c r="J12" s="337"/>
      <c r="K12" s="337" t="s">
        <v>66</v>
      </c>
      <c r="L12" s="337"/>
      <c r="M12" s="337"/>
      <c r="N12" s="339"/>
    </row>
    <row r="13" spans="1:14" x14ac:dyDescent="0.2">
      <c r="A13" s="335" t="s">
        <v>88</v>
      </c>
      <c r="B13" s="336">
        <v>11</v>
      </c>
      <c r="C13" s="336"/>
      <c r="D13" s="337"/>
      <c r="E13" s="337"/>
      <c r="F13" s="337"/>
      <c r="G13" s="337"/>
      <c r="H13" s="337"/>
      <c r="I13" s="337"/>
      <c r="J13" s="337"/>
      <c r="K13" s="337"/>
      <c r="L13" s="337"/>
      <c r="M13" s="337"/>
      <c r="N13" s="339"/>
    </row>
    <row r="14" spans="1:14" x14ac:dyDescent="0.2">
      <c r="A14" s="335" t="s">
        <v>89</v>
      </c>
      <c r="B14" s="336">
        <v>12</v>
      </c>
      <c r="C14" s="336"/>
      <c r="D14" s="337"/>
      <c r="E14" s="337"/>
      <c r="F14" s="337"/>
      <c r="G14" s="337"/>
      <c r="H14" s="337"/>
      <c r="I14" s="337"/>
      <c r="J14" s="337"/>
      <c r="K14" s="337"/>
      <c r="L14" s="337"/>
      <c r="M14" s="337"/>
      <c r="N14" s="339"/>
    </row>
    <row r="15" spans="1:14" x14ac:dyDescent="0.2">
      <c r="A15" s="335" t="s">
        <v>90</v>
      </c>
      <c r="B15" s="336">
        <v>13</v>
      </c>
      <c r="C15" s="336"/>
      <c r="D15" s="337"/>
      <c r="E15" s="337"/>
      <c r="F15" s="337"/>
      <c r="G15" s="337"/>
      <c r="H15" s="337"/>
      <c r="I15" s="337"/>
      <c r="J15" s="337"/>
      <c r="K15" s="337"/>
      <c r="L15" s="337"/>
      <c r="M15" s="337"/>
      <c r="N15" s="339"/>
    </row>
    <row r="16" spans="1:14" x14ac:dyDescent="0.2">
      <c r="A16" s="335" t="s">
        <v>91</v>
      </c>
      <c r="B16" s="336">
        <v>14</v>
      </c>
      <c r="C16" s="336"/>
      <c r="D16" s="337"/>
      <c r="E16" s="337"/>
      <c r="F16" s="382"/>
      <c r="G16" s="337"/>
      <c r="H16" s="337"/>
      <c r="I16" s="337"/>
      <c r="J16" s="337"/>
      <c r="K16" s="337"/>
      <c r="L16" s="337"/>
      <c r="M16" s="337"/>
      <c r="N16" s="339"/>
    </row>
    <row r="17" spans="1:15" x14ac:dyDescent="0.2">
      <c r="A17" s="335" t="s">
        <v>92</v>
      </c>
      <c r="B17" s="336">
        <v>15</v>
      </c>
      <c r="C17" s="336"/>
      <c r="D17" s="337"/>
      <c r="E17" s="337"/>
      <c r="F17" s="337"/>
      <c r="G17" s="337"/>
      <c r="H17" s="337"/>
      <c r="I17" s="337"/>
      <c r="J17" s="337"/>
      <c r="K17" s="337"/>
      <c r="L17" s="337"/>
      <c r="M17" s="337"/>
      <c r="N17" s="339"/>
    </row>
    <row r="18" spans="1:15" x14ac:dyDescent="0.2">
      <c r="A18" s="335" t="s">
        <v>93</v>
      </c>
      <c r="B18" s="336">
        <v>16</v>
      </c>
      <c r="C18" s="336"/>
      <c r="D18" s="337"/>
      <c r="E18" s="337"/>
      <c r="F18" s="337"/>
      <c r="G18" s="337"/>
      <c r="H18" s="337"/>
      <c r="I18" s="337"/>
      <c r="J18" s="337"/>
      <c r="K18" s="337"/>
      <c r="L18" s="337"/>
      <c r="M18" s="337"/>
      <c r="N18" s="339"/>
    </row>
    <row r="19" spans="1:15" x14ac:dyDescent="0.2">
      <c r="A19" s="335" t="s">
        <v>94</v>
      </c>
      <c r="B19" s="336">
        <v>17</v>
      </c>
      <c r="C19" s="336"/>
      <c r="D19" s="337"/>
      <c r="E19" s="337"/>
      <c r="F19" s="337"/>
      <c r="G19" s="337"/>
      <c r="H19" s="337"/>
      <c r="I19" s="337"/>
      <c r="J19" s="337"/>
      <c r="K19" s="337"/>
      <c r="L19" s="337"/>
      <c r="M19" s="337"/>
      <c r="N19" s="339"/>
    </row>
    <row r="20" spans="1:15" x14ac:dyDescent="0.2">
      <c r="A20" s="335" t="s">
        <v>95</v>
      </c>
      <c r="B20" s="336">
        <v>18</v>
      </c>
      <c r="C20" s="336"/>
      <c r="D20" s="337"/>
      <c r="E20" s="337"/>
      <c r="F20" s="337"/>
      <c r="G20" s="337"/>
      <c r="H20" s="337"/>
      <c r="I20" s="337"/>
      <c r="J20" s="337"/>
      <c r="K20" s="337"/>
      <c r="L20" s="337"/>
      <c r="M20" s="337"/>
      <c r="N20" s="339"/>
    </row>
    <row r="21" spans="1:15" x14ac:dyDescent="0.2">
      <c r="A21" s="335" t="s">
        <v>96</v>
      </c>
      <c r="B21" s="336">
        <v>19</v>
      </c>
      <c r="C21" s="336"/>
      <c r="D21" s="337"/>
      <c r="E21" s="337"/>
      <c r="F21" s="392"/>
      <c r="G21" s="337"/>
      <c r="H21" s="337"/>
      <c r="I21" s="337"/>
      <c r="J21" s="337"/>
      <c r="K21" s="337"/>
      <c r="L21" s="337"/>
      <c r="M21" s="337"/>
      <c r="N21" s="339"/>
    </row>
    <row r="22" spans="1:15" x14ac:dyDescent="0.2">
      <c r="A22" s="335" t="s">
        <v>97</v>
      </c>
      <c r="B22" s="336">
        <v>20</v>
      </c>
      <c r="C22" s="336"/>
      <c r="D22" s="337"/>
      <c r="E22" s="337"/>
      <c r="F22" s="337"/>
      <c r="G22" s="337"/>
      <c r="H22" s="337"/>
      <c r="I22" s="337"/>
      <c r="J22" s="337"/>
      <c r="K22" s="337"/>
      <c r="L22" s="337"/>
      <c r="M22" s="337"/>
      <c r="N22" s="339"/>
    </row>
    <row r="23" spans="1:15" x14ac:dyDescent="0.2">
      <c r="A23" s="335" t="s">
        <v>98</v>
      </c>
      <c r="B23" s="336">
        <v>21</v>
      </c>
      <c r="C23" s="336"/>
      <c r="D23" s="337"/>
      <c r="E23" s="337"/>
      <c r="F23" s="337"/>
      <c r="G23" s="337"/>
      <c r="H23" s="337"/>
      <c r="I23" s="337"/>
      <c r="J23" s="337"/>
      <c r="K23" s="337"/>
      <c r="L23" s="337"/>
      <c r="M23" s="337"/>
      <c r="N23" s="339"/>
      <c r="O23" s="393"/>
    </row>
    <row r="24" spans="1:15" x14ac:dyDescent="0.2">
      <c r="A24" s="335" t="s">
        <v>99</v>
      </c>
      <c r="B24" s="336">
        <v>22</v>
      </c>
      <c r="C24" s="336"/>
      <c r="D24" s="337"/>
      <c r="E24" s="337"/>
      <c r="F24" s="337"/>
      <c r="G24" s="337"/>
      <c r="H24" s="337"/>
      <c r="I24" s="337"/>
      <c r="J24" s="337"/>
      <c r="K24" s="337"/>
      <c r="L24" s="337"/>
      <c r="M24" s="337"/>
      <c r="N24" s="339"/>
    </row>
    <row r="25" spans="1:15" x14ac:dyDescent="0.2">
      <c r="A25" s="335" t="s">
        <v>100</v>
      </c>
      <c r="B25" s="336">
        <v>23</v>
      </c>
      <c r="C25" s="336"/>
      <c r="D25" s="337"/>
      <c r="E25" s="337"/>
      <c r="F25" s="337"/>
      <c r="G25" s="382"/>
      <c r="H25" s="337"/>
      <c r="I25" s="337"/>
      <c r="J25" s="337"/>
      <c r="K25" s="337"/>
      <c r="L25" s="337"/>
      <c r="M25" s="337"/>
      <c r="N25" s="339"/>
    </row>
    <row r="26" spans="1:15" x14ac:dyDescent="0.2">
      <c r="A26" s="335" t="s">
        <v>101</v>
      </c>
      <c r="B26" s="336">
        <v>24</v>
      </c>
      <c r="C26" s="336"/>
      <c r="D26" s="337"/>
      <c r="E26" s="337"/>
      <c r="F26" s="337"/>
      <c r="G26" s="337"/>
      <c r="H26" s="337"/>
      <c r="I26" s="337"/>
      <c r="J26" s="337"/>
      <c r="K26" s="337"/>
      <c r="L26" s="337"/>
      <c r="M26" s="337"/>
      <c r="N26" s="339"/>
    </row>
    <row r="27" spans="1:15" x14ac:dyDescent="0.2">
      <c r="A27" s="335" t="s">
        <v>102</v>
      </c>
      <c r="B27" s="336">
        <v>25</v>
      </c>
      <c r="C27" s="336"/>
      <c r="D27" s="337"/>
      <c r="E27" s="337"/>
      <c r="F27" s="337"/>
      <c r="G27" s="337"/>
      <c r="H27" s="337"/>
      <c r="I27" s="337"/>
      <c r="J27" s="337"/>
      <c r="K27" s="337"/>
      <c r="L27" s="337"/>
      <c r="M27" s="337"/>
      <c r="N27" s="339"/>
    </row>
    <row r="28" spans="1:15" x14ac:dyDescent="0.2">
      <c r="A28" s="335" t="s">
        <v>103</v>
      </c>
      <c r="B28" s="336">
        <v>26</v>
      </c>
      <c r="C28" s="336"/>
      <c r="D28" s="337"/>
      <c r="E28" s="337"/>
      <c r="F28" s="337"/>
      <c r="G28" s="337"/>
      <c r="H28" s="337"/>
      <c r="I28" s="337"/>
      <c r="J28" s="337"/>
      <c r="K28" s="337"/>
      <c r="L28" s="337"/>
      <c r="M28" s="337"/>
      <c r="N28" s="339"/>
    </row>
    <row r="29" spans="1:15" x14ac:dyDescent="0.2">
      <c r="A29" s="335" t="s">
        <v>104</v>
      </c>
      <c r="B29" s="336">
        <v>27</v>
      </c>
      <c r="C29" s="336"/>
      <c r="D29" s="337"/>
      <c r="E29" s="337"/>
      <c r="F29" s="337"/>
      <c r="G29" s="337"/>
      <c r="H29" s="337"/>
      <c r="I29" s="337"/>
      <c r="J29" s="337"/>
      <c r="K29" s="337"/>
      <c r="L29" s="337"/>
      <c r="M29" s="337"/>
      <c r="N29" s="339"/>
    </row>
    <row r="30" spans="1:15" x14ac:dyDescent="0.2">
      <c r="A30" s="335" t="s">
        <v>105</v>
      </c>
      <c r="B30" s="336">
        <v>28</v>
      </c>
      <c r="C30" s="336"/>
      <c r="D30" s="337"/>
      <c r="E30" s="337"/>
      <c r="F30" s="337"/>
      <c r="G30" s="337"/>
      <c r="H30" s="337"/>
      <c r="I30" s="337"/>
      <c r="J30" s="337"/>
      <c r="K30" s="337"/>
      <c r="L30" s="337"/>
      <c r="M30" s="337"/>
      <c r="N30" s="339"/>
    </row>
    <row r="31" spans="1:15" x14ac:dyDescent="0.2">
      <c r="A31" s="335" t="s">
        <v>106</v>
      </c>
      <c r="B31" s="336">
        <v>29</v>
      </c>
      <c r="C31" s="336"/>
      <c r="D31" s="337"/>
      <c r="E31" s="337"/>
      <c r="F31" s="337"/>
      <c r="G31" s="337"/>
      <c r="H31" s="337"/>
      <c r="I31" s="337"/>
      <c r="J31" s="337"/>
      <c r="K31" s="337"/>
      <c r="L31" s="337"/>
      <c r="M31" s="337"/>
      <c r="N31" s="339"/>
    </row>
    <row r="32" spans="1:15" x14ac:dyDescent="0.2">
      <c r="A32" s="335" t="s">
        <v>107</v>
      </c>
      <c r="B32" s="336">
        <v>30</v>
      </c>
      <c r="C32" s="336"/>
      <c r="D32" s="337"/>
      <c r="E32" s="337"/>
      <c r="F32" s="337"/>
      <c r="G32" s="337"/>
      <c r="H32" s="337"/>
      <c r="I32" s="337"/>
      <c r="J32" s="337"/>
      <c r="K32" s="337"/>
      <c r="L32" s="337"/>
      <c r="M32" s="337"/>
      <c r="N32" s="339"/>
    </row>
    <row r="33" spans="1:14" x14ac:dyDescent="0.2">
      <c r="A33" s="335" t="s">
        <v>108</v>
      </c>
      <c r="B33" s="336">
        <v>31</v>
      </c>
      <c r="C33" s="336"/>
      <c r="D33" s="337"/>
      <c r="E33" s="337"/>
      <c r="F33" s="337"/>
      <c r="G33" s="337"/>
      <c r="H33" s="337"/>
      <c r="I33" s="337"/>
      <c r="J33" s="337"/>
      <c r="K33" s="337"/>
      <c r="L33" s="337"/>
      <c r="M33" s="337"/>
      <c r="N33" s="339"/>
    </row>
    <row r="34" spans="1:14" x14ac:dyDescent="0.2">
      <c r="A34" s="335" t="s">
        <v>109</v>
      </c>
      <c r="B34" s="336">
        <v>32</v>
      </c>
      <c r="C34" s="336"/>
      <c r="D34" s="337"/>
      <c r="E34" s="337"/>
      <c r="F34" s="337"/>
      <c r="G34" s="337"/>
      <c r="H34" s="337"/>
      <c r="I34" s="337"/>
      <c r="J34" s="337"/>
      <c r="K34" s="337"/>
      <c r="L34" s="337"/>
      <c r="M34" s="337"/>
      <c r="N34" s="339"/>
    </row>
    <row r="35" spans="1:14" x14ac:dyDescent="0.2">
      <c r="A35" s="335" t="s">
        <v>110</v>
      </c>
      <c r="B35" s="336">
        <v>33</v>
      </c>
      <c r="C35" s="336"/>
      <c r="D35" s="337"/>
      <c r="E35" s="337"/>
      <c r="F35" s="337"/>
      <c r="G35" s="337"/>
      <c r="H35" s="337"/>
      <c r="I35" s="337"/>
      <c r="J35" s="337"/>
      <c r="K35" s="337"/>
      <c r="L35" s="337"/>
      <c r="M35" s="337"/>
      <c r="N35" s="339"/>
    </row>
    <row r="36" spans="1:14" x14ac:dyDescent="0.2">
      <c r="A36" s="335" t="s">
        <v>111</v>
      </c>
      <c r="B36" s="336">
        <v>34</v>
      </c>
      <c r="C36" s="336"/>
      <c r="D36" s="337"/>
      <c r="E36" s="337"/>
      <c r="F36" s="337"/>
      <c r="G36" s="337"/>
      <c r="H36" s="337"/>
      <c r="I36" s="337"/>
      <c r="J36" s="337"/>
      <c r="K36" s="337"/>
      <c r="L36" s="337"/>
      <c r="M36" s="337"/>
      <c r="N36" s="339"/>
    </row>
    <row r="37" spans="1:14" x14ac:dyDescent="0.2">
      <c r="A37" s="335" t="s">
        <v>112</v>
      </c>
      <c r="B37" s="336">
        <v>35</v>
      </c>
      <c r="C37" s="336"/>
      <c r="D37" s="337"/>
      <c r="E37" s="337"/>
      <c r="F37" s="337"/>
      <c r="G37" s="337"/>
      <c r="H37" s="337"/>
      <c r="I37" s="337"/>
      <c r="J37" s="337"/>
      <c r="K37" s="337"/>
      <c r="L37" s="337"/>
      <c r="M37" s="337"/>
      <c r="N37" s="339"/>
    </row>
    <row r="38" spans="1:14" x14ac:dyDescent="0.2">
      <c r="A38" s="335" t="s">
        <v>113</v>
      </c>
      <c r="B38" s="336">
        <v>36</v>
      </c>
      <c r="C38" s="336"/>
      <c r="D38" s="337"/>
      <c r="E38" s="337"/>
      <c r="F38" s="337"/>
      <c r="G38" s="337"/>
      <c r="H38" s="337"/>
      <c r="I38" s="337"/>
      <c r="J38" s="337"/>
      <c r="K38" s="337"/>
      <c r="L38" s="337"/>
      <c r="M38" s="337"/>
      <c r="N38" s="339"/>
    </row>
    <row r="39" spans="1:14" x14ac:dyDescent="0.2">
      <c r="A39" s="335" t="s">
        <v>114</v>
      </c>
      <c r="B39" s="336">
        <v>37</v>
      </c>
      <c r="C39" s="336"/>
      <c r="D39" s="337"/>
      <c r="E39" s="337"/>
      <c r="F39" s="337"/>
      <c r="G39" s="337"/>
      <c r="H39" s="337"/>
      <c r="I39" s="337"/>
      <c r="J39" s="337"/>
      <c r="K39" s="337"/>
      <c r="L39" s="337"/>
      <c r="M39" s="337"/>
      <c r="N39" s="339"/>
    </row>
    <row r="40" spans="1:14" x14ac:dyDescent="0.2">
      <c r="A40" s="335" t="s">
        <v>115</v>
      </c>
      <c r="B40" s="336">
        <v>38</v>
      </c>
      <c r="C40" s="336"/>
      <c r="D40" s="337"/>
      <c r="E40" s="337"/>
      <c r="F40" s="337"/>
      <c r="G40" s="337"/>
      <c r="H40" s="337"/>
      <c r="I40" s="337"/>
      <c r="J40" s="337"/>
      <c r="K40" s="337"/>
      <c r="L40" s="337"/>
      <c r="M40" s="337"/>
      <c r="N40" s="339"/>
    </row>
    <row r="41" spans="1:14" x14ac:dyDescent="0.2">
      <c r="A41" s="335" t="s">
        <v>116</v>
      </c>
      <c r="B41" s="336">
        <v>39</v>
      </c>
      <c r="C41" s="336"/>
      <c r="D41" s="337"/>
      <c r="E41" s="337"/>
      <c r="F41" s="337"/>
      <c r="G41" s="337"/>
      <c r="H41" s="337"/>
      <c r="I41" s="337"/>
      <c r="J41" s="337"/>
      <c r="K41" s="337"/>
      <c r="L41" s="337"/>
      <c r="M41" s="337"/>
      <c r="N41" s="339"/>
    </row>
    <row r="42" spans="1:14" x14ac:dyDescent="0.2">
      <c r="A42" s="335" t="s">
        <v>117</v>
      </c>
      <c r="B42" s="336">
        <v>40</v>
      </c>
      <c r="C42" s="336"/>
      <c r="D42" s="337"/>
      <c r="E42" s="337"/>
      <c r="F42" s="337"/>
      <c r="G42" s="337"/>
      <c r="H42" s="337"/>
      <c r="I42" s="337"/>
      <c r="J42" s="337"/>
      <c r="K42" s="337"/>
      <c r="L42" s="337"/>
      <c r="M42" s="337"/>
      <c r="N42" s="339"/>
    </row>
    <row r="43" spans="1:14" x14ac:dyDescent="0.2">
      <c r="A43" s="335" t="s">
        <v>118</v>
      </c>
      <c r="B43" s="336">
        <v>41</v>
      </c>
      <c r="C43" s="336"/>
      <c r="D43" s="337"/>
      <c r="E43" s="337"/>
      <c r="F43" s="337"/>
      <c r="G43" s="337"/>
      <c r="H43" s="337"/>
      <c r="I43" s="337"/>
      <c r="J43" s="337"/>
      <c r="K43" s="337"/>
      <c r="L43" s="337"/>
      <c r="M43" s="337"/>
      <c r="N43" s="339"/>
    </row>
    <row r="44" spans="1:14" x14ac:dyDescent="0.2">
      <c r="A44" s="335" t="s">
        <v>119</v>
      </c>
      <c r="B44" s="336">
        <v>42</v>
      </c>
      <c r="C44" s="336"/>
      <c r="D44" s="337"/>
      <c r="E44" s="337"/>
      <c r="F44" s="337"/>
      <c r="G44" s="337"/>
      <c r="H44" s="337"/>
      <c r="I44" s="337"/>
      <c r="J44" s="337"/>
      <c r="K44" s="337"/>
      <c r="L44" s="337"/>
      <c r="M44" s="337"/>
      <c r="N44" s="339"/>
    </row>
    <row r="45" spans="1:14" x14ac:dyDescent="0.2">
      <c r="A45" s="335" t="s">
        <v>120</v>
      </c>
      <c r="B45" s="336">
        <v>43</v>
      </c>
      <c r="C45" s="336"/>
      <c r="D45" s="337"/>
      <c r="E45" s="337"/>
      <c r="F45" s="337"/>
      <c r="G45" s="337"/>
      <c r="H45" s="337"/>
      <c r="I45" s="337"/>
      <c r="J45" s="337"/>
      <c r="K45" s="337"/>
      <c r="L45" s="337"/>
      <c r="M45" s="337"/>
      <c r="N45" s="339"/>
    </row>
    <row r="46" spans="1:14" x14ac:dyDescent="0.2">
      <c r="A46" s="335" t="s">
        <v>121</v>
      </c>
      <c r="B46" s="336">
        <v>44</v>
      </c>
      <c r="C46" s="336"/>
      <c r="D46" s="337"/>
      <c r="E46" s="337"/>
      <c r="F46" s="337"/>
      <c r="G46" s="337"/>
      <c r="H46" s="337"/>
      <c r="I46" s="337"/>
      <c r="J46" s="337"/>
      <c r="K46" s="337"/>
      <c r="L46" s="337"/>
      <c r="M46" s="337"/>
      <c r="N46" s="339"/>
    </row>
    <row r="47" spans="1:14" x14ac:dyDescent="0.2">
      <c r="A47" s="335" t="s">
        <v>122</v>
      </c>
      <c r="B47" s="336">
        <v>45</v>
      </c>
      <c r="C47" s="336"/>
      <c r="D47" s="337"/>
      <c r="E47" s="337"/>
      <c r="F47" s="337"/>
      <c r="G47" s="337"/>
      <c r="H47" s="337"/>
      <c r="I47" s="337"/>
      <c r="J47" s="337"/>
      <c r="K47" s="337"/>
      <c r="L47" s="337"/>
      <c r="M47" s="337"/>
      <c r="N47" s="339"/>
    </row>
    <row r="48" spans="1:14" x14ac:dyDescent="0.2">
      <c r="A48" s="335" t="s">
        <v>123</v>
      </c>
      <c r="B48" s="336">
        <v>46</v>
      </c>
      <c r="C48" s="336"/>
      <c r="D48" s="337"/>
      <c r="E48" s="337"/>
      <c r="F48" s="337"/>
      <c r="G48" s="337"/>
      <c r="H48" s="337"/>
      <c r="I48" s="337"/>
      <c r="J48" s="337"/>
      <c r="K48" s="337"/>
      <c r="L48" s="337"/>
      <c r="M48" s="337"/>
      <c r="N48" s="339"/>
    </row>
    <row r="49" spans="1:14" x14ac:dyDescent="0.2">
      <c r="A49" s="335" t="s">
        <v>124</v>
      </c>
      <c r="B49" s="336">
        <v>47</v>
      </c>
      <c r="C49" s="336"/>
      <c r="D49" s="337"/>
      <c r="E49" s="337"/>
      <c r="F49" s="337"/>
      <c r="G49" s="337"/>
      <c r="H49" s="337"/>
      <c r="I49" s="337"/>
      <c r="J49" s="337"/>
      <c r="K49" s="337"/>
      <c r="L49" s="337"/>
      <c r="M49" s="337"/>
      <c r="N49" s="339"/>
    </row>
    <row r="50" spans="1:14" x14ac:dyDescent="0.2">
      <c r="A50" s="335" t="s">
        <v>125</v>
      </c>
      <c r="B50" s="336">
        <v>48</v>
      </c>
      <c r="C50" s="336"/>
      <c r="D50" s="337"/>
      <c r="E50" s="337"/>
      <c r="F50" s="337"/>
      <c r="G50" s="337"/>
      <c r="H50" s="337"/>
      <c r="I50" s="337"/>
      <c r="J50" s="337"/>
      <c r="K50" s="337"/>
      <c r="L50" s="337"/>
      <c r="M50" s="337"/>
      <c r="N50" s="339"/>
    </row>
    <row r="51" spans="1:14" x14ac:dyDescent="0.2">
      <c r="A51" s="335" t="s">
        <v>126</v>
      </c>
      <c r="B51" s="336">
        <v>49</v>
      </c>
      <c r="C51" s="336"/>
      <c r="D51" s="337"/>
      <c r="E51" s="337"/>
      <c r="F51" s="337"/>
      <c r="G51" s="337"/>
      <c r="H51" s="337"/>
      <c r="I51" s="337"/>
      <c r="J51" s="337"/>
      <c r="K51" s="337"/>
      <c r="L51" s="337"/>
      <c r="M51" s="337"/>
      <c r="N51" s="339"/>
    </row>
    <row r="52" spans="1:14" x14ac:dyDescent="0.2">
      <c r="A52" s="335" t="s">
        <v>127</v>
      </c>
      <c r="B52" s="336">
        <v>50</v>
      </c>
      <c r="C52" s="336"/>
      <c r="D52" s="337"/>
      <c r="E52" s="337"/>
      <c r="F52" s="337"/>
      <c r="G52" s="337"/>
      <c r="H52" s="337"/>
      <c r="I52" s="337"/>
      <c r="J52" s="337"/>
      <c r="K52" s="337"/>
      <c r="L52" s="337"/>
      <c r="M52" s="337"/>
      <c r="N52" s="339"/>
    </row>
    <row r="53" spans="1:14" x14ac:dyDescent="0.2">
      <c r="A53" s="335" t="s">
        <v>136</v>
      </c>
      <c r="B53" s="336">
        <v>63</v>
      </c>
      <c r="C53" s="336"/>
      <c r="D53" s="337"/>
      <c r="E53" s="337"/>
      <c r="F53" s="337"/>
      <c r="G53" s="337"/>
      <c r="H53" s="337"/>
      <c r="I53" s="337"/>
      <c r="J53" s="337"/>
      <c r="K53" s="337"/>
      <c r="L53" s="337"/>
      <c r="M53" s="337"/>
      <c r="N53" s="339"/>
    </row>
    <row r="54" spans="1:14" x14ac:dyDescent="0.2">
      <c r="A54" s="335" t="s">
        <v>128</v>
      </c>
      <c r="B54" s="336">
        <v>52</v>
      </c>
      <c r="C54" s="336"/>
      <c r="D54" s="337"/>
      <c r="E54" s="337"/>
      <c r="F54" s="337"/>
      <c r="G54" s="337"/>
      <c r="H54" s="337"/>
      <c r="I54" s="337"/>
      <c r="J54" s="337"/>
      <c r="K54" s="337"/>
      <c r="L54" s="337"/>
      <c r="M54" s="337"/>
      <c r="N54" s="339"/>
    </row>
    <row r="55" spans="1:14" x14ac:dyDescent="0.2">
      <c r="A55" s="335" t="s">
        <v>129</v>
      </c>
      <c r="B55" s="336">
        <v>66</v>
      </c>
      <c r="C55" s="336"/>
      <c r="D55" s="337"/>
      <c r="E55" s="337"/>
      <c r="F55" s="337"/>
      <c r="G55" s="337"/>
      <c r="H55" s="337"/>
      <c r="I55" s="337"/>
      <c r="J55" s="337"/>
      <c r="K55" s="337"/>
      <c r="L55" s="337"/>
      <c r="M55" s="337"/>
      <c r="N55" s="339"/>
    </row>
    <row r="56" spans="1:14" x14ac:dyDescent="0.2">
      <c r="A56" s="335" t="s">
        <v>130</v>
      </c>
      <c r="B56" s="336">
        <v>53</v>
      </c>
      <c r="C56" s="336"/>
      <c r="D56" s="337"/>
      <c r="E56" s="337"/>
      <c r="F56" s="337"/>
      <c r="G56" s="337"/>
      <c r="H56" s="337"/>
      <c r="I56" s="337"/>
      <c r="J56" s="337"/>
      <c r="K56" s="337"/>
      <c r="L56" s="337"/>
      <c r="M56" s="337"/>
      <c r="N56" s="339"/>
    </row>
    <row r="57" spans="1:14" x14ac:dyDescent="0.2">
      <c r="A57" s="335" t="s">
        <v>131</v>
      </c>
      <c r="B57" s="336">
        <v>54</v>
      </c>
      <c r="C57" s="336"/>
      <c r="D57" s="337"/>
      <c r="E57" s="337"/>
      <c r="F57" s="337"/>
      <c r="G57" s="337"/>
      <c r="H57" s="337"/>
      <c r="I57" s="337"/>
      <c r="J57" s="337"/>
      <c r="K57" s="337"/>
      <c r="L57" s="337"/>
      <c r="M57" s="337"/>
      <c r="N57" s="339"/>
    </row>
    <row r="58" spans="1:14" x14ac:dyDescent="0.2">
      <c r="A58" s="335" t="s">
        <v>132</v>
      </c>
      <c r="B58" s="336">
        <v>55</v>
      </c>
      <c r="C58" s="336"/>
      <c r="D58" s="337"/>
      <c r="E58" s="337"/>
      <c r="F58" s="337"/>
      <c r="G58" s="337"/>
      <c r="H58" s="337"/>
      <c r="I58" s="337"/>
      <c r="J58" s="337"/>
      <c r="K58" s="337"/>
      <c r="L58" s="337"/>
      <c r="M58" s="337"/>
      <c r="N58" s="339"/>
    </row>
    <row r="59" spans="1:14" x14ac:dyDescent="0.2">
      <c r="A59" s="335" t="s">
        <v>133</v>
      </c>
      <c r="B59" s="336">
        <v>56</v>
      </c>
      <c r="C59" s="336"/>
      <c r="D59" s="337"/>
      <c r="E59" s="337"/>
      <c r="F59" s="337"/>
      <c r="G59" s="337"/>
      <c r="H59" s="337"/>
      <c r="I59" s="337"/>
      <c r="J59" s="337"/>
      <c r="K59" s="337"/>
      <c r="L59" s="337"/>
      <c r="M59" s="337"/>
      <c r="N59" s="339"/>
    </row>
    <row r="60" spans="1:14" ht="15.75" thickBot="1" x14ac:dyDescent="0.25">
      <c r="A60" s="340" t="s">
        <v>134</v>
      </c>
      <c r="B60" s="341">
        <v>57</v>
      </c>
      <c r="C60" s="341"/>
      <c r="D60" s="342"/>
      <c r="E60" s="342"/>
      <c r="F60" s="342"/>
      <c r="G60" s="342"/>
      <c r="H60" s="342"/>
      <c r="I60" s="342"/>
      <c r="J60" s="342"/>
      <c r="K60" s="342"/>
      <c r="L60" s="342"/>
      <c r="M60" s="342"/>
      <c r="N60" s="343"/>
    </row>
  </sheetData>
  <sheetProtection sheet="1" objects="1" scenarios="1" formatColumns="0" formatRows="0" selectLockedCells="1"/>
  <mergeCells count="1">
    <mergeCell ref="A1:B1"/>
  </mergeCells>
  <printOptions headings="1" gridLines="1"/>
  <pageMargins left="0.25" right="0.25" top="0.75" bottom="0.75" header="0.3" footer="0.3"/>
  <pageSetup paperSize="5" scale="54"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3" zoomScale="80" zoomScaleNormal="80" workbookViewId="0">
      <selection activeCell="A72" sqref="A72:B74"/>
    </sheetView>
  </sheetViews>
  <sheetFormatPr defaultColWidth="0" defaultRowHeight="15" zeroHeight="1" x14ac:dyDescent="0.2"/>
  <cols>
    <col min="1" max="1" width="25.85546875" style="344" customWidth="1"/>
    <col min="2" max="2" width="14.85546875" style="344" customWidth="1"/>
    <col min="3" max="3" width="16" style="344" customWidth="1"/>
    <col min="4" max="4" width="18.42578125" style="344" customWidth="1"/>
    <col min="5" max="5" width="55.42578125" style="344" customWidth="1"/>
    <col min="6" max="7" width="0" style="344" hidden="1" customWidth="1"/>
    <col min="8" max="16384" width="19.5703125" style="344" hidden="1"/>
  </cols>
  <sheetData>
    <row r="1" spans="1:7" x14ac:dyDescent="0.2">
      <c r="D1" s="345" t="s">
        <v>283</v>
      </c>
    </row>
    <row r="2" spans="1:7" ht="14.25" customHeight="1" x14ac:dyDescent="0.25">
      <c r="A2" s="508" t="s">
        <v>284</v>
      </c>
      <c r="B2" s="508"/>
      <c r="C2" s="508"/>
      <c r="D2" s="508"/>
      <c r="E2" s="508"/>
    </row>
    <row r="3" spans="1:7" ht="14.25" customHeight="1" x14ac:dyDescent="0.25">
      <c r="A3" s="508" t="s">
        <v>285</v>
      </c>
      <c r="B3" s="508"/>
      <c r="C3" s="508"/>
      <c r="D3" s="508"/>
      <c r="E3" s="508"/>
    </row>
    <row r="4" spans="1:7" ht="14.25" customHeight="1" thickBot="1" x14ac:dyDescent="0.3">
      <c r="A4" s="346"/>
      <c r="B4" s="347"/>
      <c r="C4" s="348"/>
      <c r="D4" s="349"/>
    </row>
    <row r="5" spans="1:7" ht="14.25" customHeight="1" x14ac:dyDescent="0.25">
      <c r="A5" s="350" t="s">
        <v>286</v>
      </c>
      <c r="B5" s="507" t="s">
        <v>287</v>
      </c>
      <c r="C5" s="507"/>
      <c r="D5" s="351" t="s">
        <v>288</v>
      </c>
      <c r="E5" s="352"/>
    </row>
    <row r="6" spans="1:7" ht="14.25" customHeight="1" thickBot="1" x14ac:dyDescent="0.3">
      <c r="A6" s="353"/>
      <c r="B6" s="354">
        <v>42370</v>
      </c>
      <c r="C6" s="355">
        <v>42736</v>
      </c>
      <c r="D6" s="356" t="s">
        <v>289</v>
      </c>
      <c r="E6" s="357" t="s">
        <v>242</v>
      </c>
    </row>
    <row r="7" spans="1:7" ht="14.25" customHeight="1" x14ac:dyDescent="0.25">
      <c r="A7" s="358"/>
      <c r="B7" s="359"/>
      <c r="C7" s="359"/>
      <c r="D7" s="360"/>
      <c r="E7" s="361"/>
    </row>
    <row r="8" spans="1:7" ht="14.25" customHeight="1" x14ac:dyDescent="0.2">
      <c r="A8" s="362" t="s">
        <v>290</v>
      </c>
      <c r="B8" s="363">
        <v>39189035</v>
      </c>
      <c r="C8" s="363">
        <v>39523613</v>
      </c>
      <c r="D8" s="364">
        <v>0.9</v>
      </c>
      <c r="E8" s="365"/>
    </row>
    <row r="9" spans="1:7" ht="14.25" customHeight="1" x14ac:dyDescent="0.2">
      <c r="A9" s="366"/>
      <c r="B9" s="367"/>
      <c r="C9" s="367"/>
      <c r="D9" s="368"/>
      <c r="E9" s="361"/>
    </row>
    <row r="10" spans="1:7" ht="14.25" customHeight="1" x14ac:dyDescent="0.2">
      <c r="A10" s="369" t="s">
        <v>78</v>
      </c>
      <c r="B10" s="363">
        <v>1629233</v>
      </c>
      <c r="C10" s="363">
        <v>1645359</v>
      </c>
      <c r="D10" s="364">
        <v>1</v>
      </c>
      <c r="E10" s="365" t="str">
        <f>IF(B10&gt;=200000,"Yes", "No")</f>
        <v>Yes</v>
      </c>
      <c r="F10" s="381"/>
    </row>
    <row r="11" spans="1:7" ht="14.25" customHeight="1" x14ac:dyDescent="0.2">
      <c r="A11" s="369" t="s">
        <v>135</v>
      </c>
      <c r="B11" s="363">
        <v>1160</v>
      </c>
      <c r="C11" s="363">
        <v>1151</v>
      </c>
      <c r="D11" s="364">
        <v>-0.8</v>
      </c>
      <c r="E11" s="365" t="str">
        <f t="shared" ref="E11:E70" si="0">IF(B11&gt;=200000,"Yes", "No")</f>
        <v>No</v>
      </c>
    </row>
    <row r="12" spans="1:7" ht="14.25" customHeight="1" x14ac:dyDescent="0.2">
      <c r="A12" s="369" t="s">
        <v>79</v>
      </c>
      <c r="B12" s="363">
        <v>37667</v>
      </c>
      <c r="C12" s="363">
        <v>38382</v>
      </c>
      <c r="D12" s="364">
        <v>1.9</v>
      </c>
      <c r="E12" s="365" t="str">
        <f t="shared" si="0"/>
        <v>No</v>
      </c>
    </row>
    <row r="13" spans="1:7" ht="14.25" customHeight="1" x14ac:dyDescent="0.2">
      <c r="A13" s="369" t="s">
        <v>81</v>
      </c>
      <c r="B13" s="363">
        <v>224703</v>
      </c>
      <c r="C13" s="363">
        <v>226404</v>
      </c>
      <c r="D13" s="364">
        <v>0.8</v>
      </c>
      <c r="E13" s="365" t="str">
        <f t="shared" si="0"/>
        <v>Yes</v>
      </c>
    </row>
    <row r="14" spans="1:7" ht="14.25" customHeight="1" x14ac:dyDescent="0.2">
      <c r="A14" s="369" t="s">
        <v>82</v>
      </c>
      <c r="B14" s="363">
        <v>45246</v>
      </c>
      <c r="C14" s="363">
        <v>45168</v>
      </c>
      <c r="D14" s="364">
        <v>-0.2</v>
      </c>
      <c r="E14" s="365" t="str">
        <f t="shared" si="0"/>
        <v>No</v>
      </c>
      <c r="G14" s="381"/>
    </row>
    <row r="15" spans="1:7" ht="14.25" customHeight="1" x14ac:dyDescent="0.2">
      <c r="A15" s="369" t="s">
        <v>83</v>
      </c>
      <c r="B15" s="363">
        <v>21965</v>
      </c>
      <c r="C15" s="363">
        <v>22043</v>
      </c>
      <c r="D15" s="364">
        <v>0.4</v>
      </c>
      <c r="E15" s="365" t="str">
        <f t="shared" si="0"/>
        <v>No</v>
      </c>
    </row>
    <row r="16" spans="1:7" ht="14.25" customHeight="1" x14ac:dyDescent="0.2">
      <c r="A16" s="369" t="s">
        <v>84</v>
      </c>
      <c r="B16" s="363">
        <v>1126824</v>
      </c>
      <c r="C16" s="363">
        <v>1139513</v>
      </c>
      <c r="D16" s="364">
        <v>1.1000000000000001</v>
      </c>
      <c r="E16" s="365" t="str">
        <f t="shared" si="0"/>
        <v>Yes</v>
      </c>
    </row>
    <row r="17" spans="1:5" ht="14.25" customHeight="1" x14ac:dyDescent="0.2">
      <c r="A17" s="369" t="s">
        <v>85</v>
      </c>
      <c r="B17" s="363">
        <v>27006</v>
      </c>
      <c r="C17" s="363">
        <v>27124</v>
      </c>
      <c r="D17" s="364">
        <v>0.4</v>
      </c>
      <c r="E17" s="365" t="str">
        <f t="shared" si="0"/>
        <v>No</v>
      </c>
    </row>
    <row r="18" spans="1:5" ht="14.25" customHeight="1" x14ac:dyDescent="0.2">
      <c r="A18" s="369" t="s">
        <v>86</v>
      </c>
      <c r="B18" s="363">
        <v>184371</v>
      </c>
      <c r="C18" s="363">
        <v>185062</v>
      </c>
      <c r="D18" s="364">
        <v>0.4</v>
      </c>
      <c r="E18" s="365" t="str">
        <f t="shared" si="0"/>
        <v>No</v>
      </c>
    </row>
    <row r="19" spans="1:5" ht="14.25" customHeight="1" x14ac:dyDescent="0.2">
      <c r="A19" s="369" t="s">
        <v>87</v>
      </c>
      <c r="B19" s="363">
        <v>985079</v>
      </c>
      <c r="C19" s="363">
        <v>995975</v>
      </c>
      <c r="D19" s="364">
        <v>1.1000000000000001</v>
      </c>
      <c r="E19" s="365" t="str">
        <f t="shared" si="0"/>
        <v>Yes</v>
      </c>
    </row>
    <row r="20" spans="1:5" ht="14.25" customHeight="1" x14ac:dyDescent="0.2">
      <c r="A20" s="369" t="s">
        <v>88</v>
      </c>
      <c r="B20" s="363">
        <v>28639</v>
      </c>
      <c r="C20" s="363">
        <v>28731</v>
      </c>
      <c r="D20" s="364">
        <v>0.3</v>
      </c>
      <c r="E20" s="365" t="str">
        <f t="shared" si="0"/>
        <v>No</v>
      </c>
    </row>
    <row r="21" spans="1:5" ht="14.25" customHeight="1" x14ac:dyDescent="0.2">
      <c r="A21" s="369" t="s">
        <v>89</v>
      </c>
      <c r="B21" s="363">
        <v>135557</v>
      </c>
      <c r="C21" s="363">
        <v>136953</v>
      </c>
      <c r="D21" s="364">
        <v>1</v>
      </c>
      <c r="E21" s="365" t="str">
        <f t="shared" si="0"/>
        <v>No</v>
      </c>
    </row>
    <row r="22" spans="1:5" ht="14.25" customHeight="1" x14ac:dyDescent="0.2">
      <c r="A22" s="369" t="s">
        <v>90</v>
      </c>
      <c r="B22" s="363">
        <v>186080</v>
      </c>
      <c r="C22" s="363">
        <v>188334</v>
      </c>
      <c r="D22" s="364">
        <v>1.2</v>
      </c>
      <c r="E22" s="365" t="str">
        <f t="shared" si="0"/>
        <v>No</v>
      </c>
    </row>
    <row r="23" spans="1:5" ht="14.25" customHeight="1" x14ac:dyDescent="0.2">
      <c r="A23" s="369" t="s">
        <v>91</v>
      </c>
      <c r="B23" s="363">
        <v>18632</v>
      </c>
      <c r="C23" s="363">
        <v>18619</v>
      </c>
      <c r="D23" s="364">
        <v>-0.1</v>
      </c>
      <c r="E23" s="365" t="str">
        <f t="shared" si="0"/>
        <v>No</v>
      </c>
    </row>
    <row r="24" spans="1:5" ht="14.25" customHeight="1" x14ac:dyDescent="0.2">
      <c r="A24" s="369" t="s">
        <v>92</v>
      </c>
      <c r="B24" s="363">
        <v>886803</v>
      </c>
      <c r="C24" s="363">
        <v>895112</v>
      </c>
      <c r="D24" s="364">
        <v>0.9</v>
      </c>
      <c r="E24" s="365" t="str">
        <f t="shared" si="0"/>
        <v>Yes</v>
      </c>
    </row>
    <row r="25" spans="1:5" ht="14.25" customHeight="1" x14ac:dyDescent="0.2">
      <c r="A25" s="369" t="s">
        <v>93</v>
      </c>
      <c r="B25" s="363">
        <v>149822</v>
      </c>
      <c r="C25" s="363">
        <v>149537</v>
      </c>
      <c r="D25" s="364">
        <v>-0.2</v>
      </c>
      <c r="E25" s="365" t="str">
        <f t="shared" si="0"/>
        <v>No</v>
      </c>
    </row>
    <row r="26" spans="1:5" ht="14.25" customHeight="1" x14ac:dyDescent="0.2">
      <c r="A26" s="369" t="s">
        <v>94</v>
      </c>
      <c r="B26" s="363">
        <v>64790</v>
      </c>
      <c r="C26" s="363">
        <v>64945</v>
      </c>
      <c r="D26" s="364">
        <v>0.2</v>
      </c>
      <c r="E26" s="365" t="str">
        <f t="shared" si="0"/>
        <v>No</v>
      </c>
    </row>
    <row r="27" spans="1:5" ht="14.25" customHeight="1" x14ac:dyDescent="0.2">
      <c r="A27" s="369" t="s">
        <v>95</v>
      </c>
      <c r="B27" s="363">
        <v>30841</v>
      </c>
      <c r="C27" s="363">
        <v>30918</v>
      </c>
      <c r="D27" s="364">
        <v>0.2</v>
      </c>
      <c r="E27" s="365" t="str">
        <f t="shared" si="0"/>
        <v>No</v>
      </c>
    </row>
    <row r="28" spans="1:5" ht="14.25" customHeight="1" x14ac:dyDescent="0.2">
      <c r="A28" s="369" t="s">
        <v>96</v>
      </c>
      <c r="B28" s="363">
        <v>10182961</v>
      </c>
      <c r="C28" s="363">
        <v>10241278</v>
      </c>
      <c r="D28" s="364">
        <v>0.6</v>
      </c>
      <c r="E28" s="365" t="str">
        <f t="shared" si="0"/>
        <v>Yes</v>
      </c>
    </row>
    <row r="29" spans="1:5" ht="14.25" customHeight="1" x14ac:dyDescent="0.2">
      <c r="A29" s="369" t="s">
        <v>97</v>
      </c>
      <c r="B29" s="363">
        <v>154933</v>
      </c>
      <c r="C29" s="363">
        <v>156492</v>
      </c>
      <c r="D29" s="364">
        <v>1</v>
      </c>
      <c r="E29" s="365" t="str">
        <f t="shared" si="0"/>
        <v>No</v>
      </c>
    </row>
    <row r="30" spans="1:5" ht="14.25" customHeight="1" x14ac:dyDescent="0.2">
      <c r="A30" s="369" t="s">
        <v>98</v>
      </c>
      <c r="B30" s="363">
        <v>263150</v>
      </c>
      <c r="C30" s="363">
        <v>263604</v>
      </c>
      <c r="D30" s="364">
        <v>0.2</v>
      </c>
      <c r="E30" s="365" t="str">
        <f t="shared" si="0"/>
        <v>Yes</v>
      </c>
    </row>
    <row r="31" spans="1:5" ht="14.25" customHeight="1" x14ac:dyDescent="0.2">
      <c r="A31" s="369" t="s">
        <v>99</v>
      </c>
      <c r="B31" s="363">
        <v>18167</v>
      </c>
      <c r="C31" s="363">
        <v>18148</v>
      </c>
      <c r="D31" s="364">
        <v>-0.1</v>
      </c>
      <c r="E31" s="365" t="str">
        <f t="shared" si="0"/>
        <v>No</v>
      </c>
    </row>
    <row r="32" spans="1:5" ht="14.25" customHeight="1" x14ac:dyDescent="0.2">
      <c r="A32" s="369" t="s">
        <v>100</v>
      </c>
      <c r="B32" s="363">
        <v>88771</v>
      </c>
      <c r="C32" s="363">
        <v>89134</v>
      </c>
      <c r="D32" s="364">
        <v>0.4</v>
      </c>
      <c r="E32" s="365" t="str">
        <f t="shared" si="0"/>
        <v>No</v>
      </c>
    </row>
    <row r="33" spans="1:5" ht="14.25" customHeight="1" x14ac:dyDescent="0.2">
      <c r="A33" s="369" t="s">
        <v>101</v>
      </c>
      <c r="B33" s="363">
        <v>271547</v>
      </c>
      <c r="C33" s="363">
        <v>274665</v>
      </c>
      <c r="D33" s="364">
        <v>1.1000000000000001</v>
      </c>
      <c r="E33" s="365" t="str">
        <f t="shared" si="0"/>
        <v>Yes</v>
      </c>
    </row>
    <row r="34" spans="1:5" ht="14.25" customHeight="1" x14ac:dyDescent="0.2">
      <c r="A34" s="369" t="s">
        <v>102</v>
      </c>
      <c r="B34" s="363">
        <v>9620</v>
      </c>
      <c r="C34" s="363">
        <v>9580</v>
      </c>
      <c r="D34" s="364">
        <v>-0.4</v>
      </c>
      <c r="E34" s="365" t="str">
        <f t="shared" si="0"/>
        <v>No</v>
      </c>
    </row>
    <row r="35" spans="1:5" ht="14.25" customHeight="1" x14ac:dyDescent="0.2">
      <c r="A35" s="369" t="s">
        <v>103</v>
      </c>
      <c r="B35" s="363">
        <v>13654</v>
      </c>
      <c r="C35" s="363">
        <v>13713</v>
      </c>
      <c r="D35" s="364">
        <v>0.4</v>
      </c>
      <c r="E35" s="365" t="str">
        <f t="shared" si="0"/>
        <v>No</v>
      </c>
    </row>
    <row r="36" spans="1:5" ht="14.25" customHeight="1" x14ac:dyDescent="0.2">
      <c r="A36" s="369" t="s">
        <v>104</v>
      </c>
      <c r="B36" s="363">
        <v>438171</v>
      </c>
      <c r="C36" s="363">
        <v>442365</v>
      </c>
      <c r="D36" s="364">
        <v>1</v>
      </c>
      <c r="E36" s="365" t="str">
        <f t="shared" si="0"/>
        <v>Yes</v>
      </c>
    </row>
    <row r="37" spans="1:5" ht="14.25" customHeight="1" x14ac:dyDescent="0.2">
      <c r="A37" s="369" t="s">
        <v>105</v>
      </c>
      <c r="B37" s="363">
        <v>141888</v>
      </c>
      <c r="C37" s="363">
        <v>142408</v>
      </c>
      <c r="D37" s="364">
        <v>0.4</v>
      </c>
      <c r="E37" s="365" t="str">
        <f t="shared" si="0"/>
        <v>No</v>
      </c>
    </row>
    <row r="38" spans="1:5" ht="14.25" customHeight="1" x14ac:dyDescent="0.2">
      <c r="A38" s="369" t="s">
        <v>106</v>
      </c>
      <c r="B38" s="363">
        <v>98609</v>
      </c>
      <c r="C38" s="363">
        <v>98828</v>
      </c>
      <c r="D38" s="364">
        <v>0.2</v>
      </c>
      <c r="E38" s="365" t="str">
        <f t="shared" si="0"/>
        <v>No</v>
      </c>
    </row>
    <row r="39" spans="1:5" ht="14.25" customHeight="1" x14ac:dyDescent="0.2">
      <c r="A39" s="369" t="s">
        <v>107</v>
      </c>
      <c r="B39" s="363">
        <v>3172152</v>
      </c>
      <c r="C39" s="363">
        <v>3194024</v>
      </c>
      <c r="D39" s="364">
        <v>0.7</v>
      </c>
      <c r="E39" s="365" t="str">
        <f t="shared" si="0"/>
        <v>Yes</v>
      </c>
    </row>
    <row r="40" spans="1:5" ht="14.25" customHeight="1" x14ac:dyDescent="0.2">
      <c r="A40" s="369" t="s">
        <v>108</v>
      </c>
      <c r="B40" s="363">
        <v>376203</v>
      </c>
      <c r="C40" s="363">
        <v>382837</v>
      </c>
      <c r="D40" s="364">
        <v>1.8</v>
      </c>
      <c r="E40" s="365" t="str">
        <f t="shared" si="0"/>
        <v>Yes</v>
      </c>
    </row>
    <row r="41" spans="1:5" ht="14.25" customHeight="1" x14ac:dyDescent="0.2">
      <c r="A41" s="369" t="s">
        <v>109</v>
      </c>
      <c r="B41" s="363">
        <v>19837</v>
      </c>
      <c r="C41" s="363">
        <v>19819</v>
      </c>
      <c r="D41" s="364">
        <v>-0.1</v>
      </c>
      <c r="E41" s="365" t="str">
        <f t="shared" si="0"/>
        <v>No</v>
      </c>
    </row>
    <row r="42" spans="1:5" ht="14.25" customHeight="1" x14ac:dyDescent="0.2">
      <c r="A42" s="369" t="s">
        <v>110</v>
      </c>
      <c r="B42" s="363">
        <v>2348213</v>
      </c>
      <c r="C42" s="363">
        <v>2384783</v>
      </c>
      <c r="D42" s="364">
        <v>1.6</v>
      </c>
      <c r="E42" s="365" t="str">
        <f t="shared" si="0"/>
        <v>Yes</v>
      </c>
    </row>
    <row r="43" spans="1:5" ht="14.25" customHeight="1" x14ac:dyDescent="0.2">
      <c r="A43" s="369" t="s">
        <v>111</v>
      </c>
      <c r="B43" s="363">
        <v>1496619</v>
      </c>
      <c r="C43" s="363">
        <v>1514770</v>
      </c>
      <c r="D43" s="364">
        <v>1.2</v>
      </c>
      <c r="E43" s="365" t="str">
        <f t="shared" si="0"/>
        <v>Yes</v>
      </c>
    </row>
    <row r="44" spans="1:5" ht="14.25" customHeight="1" x14ac:dyDescent="0.2">
      <c r="A44" s="369" t="s">
        <v>112</v>
      </c>
      <c r="B44" s="363">
        <v>56621</v>
      </c>
      <c r="C44" s="363">
        <v>56854</v>
      </c>
      <c r="D44" s="364">
        <v>0.4</v>
      </c>
      <c r="E44" s="365" t="str">
        <f t="shared" si="0"/>
        <v>No</v>
      </c>
    </row>
    <row r="45" spans="1:5" ht="14.25" customHeight="1" x14ac:dyDescent="0.2">
      <c r="A45" s="369" t="s">
        <v>113</v>
      </c>
      <c r="B45" s="363">
        <v>2135724</v>
      </c>
      <c r="C45" s="363">
        <v>2160256</v>
      </c>
      <c r="D45" s="364">
        <v>1.1000000000000001</v>
      </c>
      <c r="E45" s="365" t="str">
        <f t="shared" si="0"/>
        <v>Yes</v>
      </c>
    </row>
    <row r="46" spans="1:5" ht="14.25" customHeight="1" x14ac:dyDescent="0.2">
      <c r="A46" s="369" t="s">
        <v>114</v>
      </c>
      <c r="B46" s="363">
        <v>3286717</v>
      </c>
      <c r="C46" s="363">
        <v>3316192</v>
      </c>
      <c r="D46" s="364">
        <v>0.9</v>
      </c>
      <c r="E46" s="365" t="str">
        <f t="shared" si="0"/>
        <v>Yes</v>
      </c>
    </row>
    <row r="47" spans="1:5" ht="14.25" customHeight="1" x14ac:dyDescent="0.2">
      <c r="A47" s="369" t="s">
        <v>115</v>
      </c>
      <c r="B47" s="363">
        <v>864889</v>
      </c>
      <c r="C47" s="363">
        <v>874228</v>
      </c>
      <c r="D47" s="364">
        <v>1.1000000000000001</v>
      </c>
      <c r="E47" s="365" t="str">
        <f t="shared" si="0"/>
        <v>Yes</v>
      </c>
    </row>
    <row r="48" spans="1:5" ht="14.25" customHeight="1" x14ac:dyDescent="0.2">
      <c r="A48" s="369" t="s">
        <v>116</v>
      </c>
      <c r="B48" s="363">
        <v>735677</v>
      </c>
      <c r="C48" s="363">
        <v>746868</v>
      </c>
      <c r="D48" s="364">
        <v>1.5</v>
      </c>
      <c r="E48" s="365" t="str">
        <f t="shared" si="0"/>
        <v>Yes</v>
      </c>
    </row>
    <row r="49" spans="1:5" ht="14.25" customHeight="1" x14ac:dyDescent="0.2">
      <c r="A49" s="369" t="s">
        <v>117</v>
      </c>
      <c r="B49" s="363">
        <v>278480</v>
      </c>
      <c r="C49" s="363">
        <v>280101</v>
      </c>
      <c r="D49" s="364">
        <v>0.6</v>
      </c>
      <c r="E49" s="365" t="str">
        <f t="shared" si="0"/>
        <v>Yes</v>
      </c>
    </row>
    <row r="50" spans="1:5" ht="14.25" customHeight="1" x14ac:dyDescent="0.2">
      <c r="A50" s="369" t="s">
        <v>118</v>
      </c>
      <c r="B50" s="363">
        <v>765895</v>
      </c>
      <c r="C50" s="363">
        <v>770203</v>
      </c>
      <c r="D50" s="364">
        <v>0.6</v>
      </c>
      <c r="E50" s="365" t="str">
        <f t="shared" si="0"/>
        <v>Yes</v>
      </c>
    </row>
    <row r="51" spans="1:5" ht="14.25" customHeight="1" x14ac:dyDescent="0.2">
      <c r="A51" s="369" t="s">
        <v>119</v>
      </c>
      <c r="B51" s="363">
        <v>447295</v>
      </c>
      <c r="C51" s="363">
        <v>450663</v>
      </c>
      <c r="D51" s="364">
        <v>0.8</v>
      </c>
      <c r="E51" s="365" t="str">
        <f t="shared" si="0"/>
        <v>Yes</v>
      </c>
    </row>
    <row r="52" spans="1:5" ht="14.25" customHeight="1" x14ac:dyDescent="0.2">
      <c r="A52" s="369" t="s">
        <v>120</v>
      </c>
      <c r="B52" s="363">
        <v>1922619</v>
      </c>
      <c r="C52" s="363">
        <v>1938180</v>
      </c>
      <c r="D52" s="364">
        <v>0.8</v>
      </c>
      <c r="E52" s="365" t="str">
        <f t="shared" si="0"/>
        <v>Yes</v>
      </c>
    </row>
    <row r="53" spans="1:5" ht="14.25" customHeight="1" x14ac:dyDescent="0.2">
      <c r="A53" s="369" t="s">
        <v>121</v>
      </c>
      <c r="B53" s="363">
        <v>275557</v>
      </c>
      <c r="C53" s="363">
        <v>276603</v>
      </c>
      <c r="D53" s="364">
        <v>0.4</v>
      </c>
      <c r="E53" s="365" t="str">
        <f t="shared" si="0"/>
        <v>Yes</v>
      </c>
    </row>
    <row r="54" spans="1:5" ht="14.25" customHeight="1" x14ac:dyDescent="0.2">
      <c r="A54" s="369" t="s">
        <v>122</v>
      </c>
      <c r="B54" s="363">
        <v>178232</v>
      </c>
      <c r="C54" s="363">
        <v>178605</v>
      </c>
      <c r="D54" s="364">
        <v>0.2</v>
      </c>
      <c r="E54" s="365" t="str">
        <f t="shared" si="0"/>
        <v>No</v>
      </c>
    </row>
    <row r="55" spans="1:5" ht="14.25" customHeight="1" x14ac:dyDescent="0.2">
      <c r="A55" s="369" t="s">
        <v>123</v>
      </c>
      <c r="B55" s="363">
        <v>3194</v>
      </c>
      <c r="C55" s="363">
        <v>3207</v>
      </c>
      <c r="D55" s="364">
        <v>0.4</v>
      </c>
      <c r="E55" s="365" t="str">
        <f t="shared" si="0"/>
        <v>No</v>
      </c>
    </row>
    <row r="56" spans="1:5" ht="14.25" customHeight="1" x14ac:dyDescent="0.2">
      <c r="A56" s="369" t="s">
        <v>124</v>
      </c>
      <c r="B56" s="363">
        <v>44722</v>
      </c>
      <c r="C56" s="363">
        <v>44688</v>
      </c>
      <c r="D56" s="364">
        <v>-0.1</v>
      </c>
      <c r="E56" s="365" t="str">
        <f t="shared" si="0"/>
        <v>No</v>
      </c>
    </row>
    <row r="57" spans="1:5" ht="14.25" customHeight="1" x14ac:dyDescent="0.2">
      <c r="A57" s="369" t="s">
        <v>125</v>
      </c>
      <c r="B57" s="363">
        <v>430972</v>
      </c>
      <c r="C57" s="363">
        <v>436023</v>
      </c>
      <c r="D57" s="364">
        <v>1.2</v>
      </c>
      <c r="E57" s="365" t="str">
        <f t="shared" si="0"/>
        <v>Yes</v>
      </c>
    </row>
    <row r="58" spans="1:5" ht="14.25" customHeight="1" x14ac:dyDescent="0.2">
      <c r="A58" s="369" t="s">
        <v>126</v>
      </c>
      <c r="B58" s="363">
        <v>502604</v>
      </c>
      <c r="C58" s="363">
        <v>505120</v>
      </c>
      <c r="D58" s="364">
        <v>0.5</v>
      </c>
      <c r="E58" s="365" t="str">
        <f t="shared" si="0"/>
        <v>Yes</v>
      </c>
    </row>
    <row r="59" spans="1:5" ht="14.25" customHeight="1" x14ac:dyDescent="0.2">
      <c r="A59" s="369" t="s">
        <v>127</v>
      </c>
      <c r="B59" s="363">
        <v>541466</v>
      </c>
      <c r="C59" s="363">
        <v>548057</v>
      </c>
      <c r="D59" s="364">
        <v>1.2</v>
      </c>
      <c r="E59" s="365" t="str">
        <f t="shared" si="0"/>
        <v>Yes</v>
      </c>
    </row>
    <row r="60" spans="1:5" ht="14.25" customHeight="1" x14ac:dyDescent="0.2">
      <c r="A60" s="369" t="s">
        <v>291</v>
      </c>
      <c r="B60" s="363">
        <v>96614</v>
      </c>
      <c r="C60" s="363">
        <v>96956</v>
      </c>
      <c r="D60" s="364">
        <v>0.4</v>
      </c>
      <c r="E60" s="365" t="str">
        <f t="shared" si="0"/>
        <v>No</v>
      </c>
    </row>
    <row r="61" spans="1:5" ht="14.25" customHeight="1" x14ac:dyDescent="0.2">
      <c r="A61" s="369" t="s">
        <v>128</v>
      </c>
      <c r="B61" s="363">
        <v>63942</v>
      </c>
      <c r="C61" s="363">
        <v>63995</v>
      </c>
      <c r="D61" s="364">
        <v>0.1</v>
      </c>
      <c r="E61" s="365" t="str">
        <f t="shared" si="0"/>
        <v>No</v>
      </c>
    </row>
    <row r="62" spans="1:5" ht="14.25" customHeight="1" x14ac:dyDescent="0.2">
      <c r="A62" s="369" t="s">
        <v>130</v>
      </c>
      <c r="B62" s="363">
        <v>13647</v>
      </c>
      <c r="C62" s="363">
        <v>13628</v>
      </c>
      <c r="D62" s="364">
        <v>-0.1</v>
      </c>
      <c r="E62" s="365" t="str">
        <f t="shared" si="0"/>
        <v>No</v>
      </c>
    </row>
    <row r="63" spans="1:5" ht="14.25" customHeight="1" x14ac:dyDescent="0.2">
      <c r="A63" s="369" t="s">
        <v>131</v>
      </c>
      <c r="B63" s="363">
        <v>466563</v>
      </c>
      <c r="C63" s="363">
        <v>471842</v>
      </c>
      <c r="D63" s="364">
        <v>1.1000000000000001</v>
      </c>
      <c r="E63" s="365" t="str">
        <f t="shared" si="0"/>
        <v>Yes</v>
      </c>
    </row>
    <row r="64" spans="1:5" ht="14.25" customHeight="1" x14ac:dyDescent="0.2">
      <c r="A64" s="369" t="s">
        <v>132</v>
      </c>
      <c r="B64" s="363">
        <v>54949</v>
      </c>
      <c r="C64" s="363">
        <v>54707</v>
      </c>
      <c r="D64" s="364">
        <v>-0.4</v>
      </c>
      <c r="E64" s="365" t="str">
        <f t="shared" si="0"/>
        <v>No</v>
      </c>
    </row>
    <row r="65" spans="1:5" ht="14.25" customHeight="1" x14ac:dyDescent="0.2">
      <c r="A65" s="369" t="s">
        <v>133</v>
      </c>
      <c r="B65" s="363">
        <v>853893</v>
      </c>
      <c r="C65" s="363">
        <v>857386</v>
      </c>
      <c r="D65" s="364">
        <v>0.4</v>
      </c>
      <c r="E65" s="365" t="str">
        <f t="shared" si="0"/>
        <v>Yes</v>
      </c>
    </row>
    <row r="66" spans="1:5" ht="14.25" customHeight="1" x14ac:dyDescent="0.2">
      <c r="A66" s="369" t="s">
        <v>134</v>
      </c>
      <c r="B66" s="363">
        <v>215522</v>
      </c>
      <c r="C66" s="363">
        <v>218896</v>
      </c>
      <c r="D66" s="364">
        <v>1.6</v>
      </c>
      <c r="E66" s="365" t="str">
        <f t="shared" si="0"/>
        <v>Yes</v>
      </c>
    </row>
    <row r="67" spans="1:5" ht="14.25" customHeight="1" thickBot="1" x14ac:dyDescent="0.25">
      <c r="A67" s="370" t="s">
        <v>292</v>
      </c>
      <c r="B67" s="371">
        <v>74328</v>
      </c>
      <c r="C67" s="371">
        <v>74577</v>
      </c>
      <c r="D67" s="372">
        <v>0.3</v>
      </c>
      <c r="E67" s="365" t="str">
        <f t="shared" si="0"/>
        <v>No</v>
      </c>
    </row>
    <row r="68" spans="1:5" x14ac:dyDescent="0.2">
      <c r="A68" s="512" t="s">
        <v>136</v>
      </c>
      <c r="B68" s="513">
        <f>B60+B67</f>
        <v>170942</v>
      </c>
      <c r="C68" s="513">
        <f>C60+C67</f>
        <v>171533</v>
      </c>
      <c r="D68" s="373"/>
      <c r="E68" s="509" t="str">
        <f t="shared" si="0"/>
        <v>No</v>
      </c>
    </row>
    <row r="69" spans="1:5" x14ac:dyDescent="0.2">
      <c r="A69" s="514" t="s">
        <v>80</v>
      </c>
      <c r="B69" s="515">
        <v>119997</v>
      </c>
      <c r="C69" s="515">
        <v>121238</v>
      </c>
      <c r="D69" s="374"/>
      <c r="E69" s="510" t="str">
        <f t="shared" si="0"/>
        <v>No</v>
      </c>
    </row>
    <row r="70" spans="1:5" ht="15.75" thickBot="1" x14ac:dyDescent="0.25">
      <c r="A70" s="516" t="s">
        <v>129</v>
      </c>
      <c r="B70" s="517">
        <f>B72+B73+B74</f>
        <v>387546</v>
      </c>
      <c r="C70" s="517">
        <f>C72+C73+C74</f>
        <v>391983</v>
      </c>
      <c r="D70" s="375"/>
      <c r="E70" s="511" t="str">
        <f t="shared" si="0"/>
        <v>Yes</v>
      </c>
    </row>
    <row r="71" spans="1:5" x14ac:dyDescent="0.2">
      <c r="A71" s="337"/>
      <c r="B71" s="376"/>
      <c r="C71" s="376"/>
      <c r="D71" s="374"/>
      <c r="E71" s="377"/>
    </row>
    <row r="72" spans="1:5" x14ac:dyDescent="0.2">
      <c r="A72" s="519" t="s">
        <v>404</v>
      </c>
      <c r="B72" s="520">
        <v>112866</v>
      </c>
      <c r="C72" s="518">
        <v>113725</v>
      </c>
      <c r="D72" s="374"/>
      <c r="E72" s="377"/>
    </row>
    <row r="73" spans="1:5" x14ac:dyDescent="0.2">
      <c r="A73" s="519" t="s">
        <v>405</v>
      </c>
      <c r="B73" s="520">
        <v>175842</v>
      </c>
      <c r="C73" s="518">
        <v>176461</v>
      </c>
      <c r="D73" s="374"/>
      <c r="E73" s="377"/>
    </row>
    <row r="74" spans="1:5" x14ac:dyDescent="0.2">
      <c r="A74" s="519" t="s">
        <v>406</v>
      </c>
      <c r="B74" s="520">
        <v>98838</v>
      </c>
      <c r="C74" s="518">
        <v>101797</v>
      </c>
      <c r="D74" s="374"/>
      <c r="E74" s="377"/>
    </row>
    <row r="75" spans="1:5" x14ac:dyDescent="0.2">
      <c r="A75" s="374"/>
      <c r="B75" s="376"/>
      <c r="C75" s="376"/>
      <c r="D75" s="374"/>
      <c r="E75" s="377"/>
    </row>
    <row r="76" spans="1:5" x14ac:dyDescent="0.2">
      <c r="A76" s="374"/>
      <c r="B76" s="376"/>
      <c r="C76" s="376"/>
      <c r="D76" s="374"/>
      <c r="E76" s="377"/>
    </row>
    <row r="77" spans="1:5" ht="15.75" x14ac:dyDescent="0.25">
      <c r="A77" s="378" t="s">
        <v>293</v>
      </c>
      <c r="B77" s="379"/>
      <c r="C77" s="379"/>
      <c r="D77" s="379"/>
      <c r="E77" s="379"/>
    </row>
    <row r="78" spans="1:5" ht="15.75" x14ac:dyDescent="0.25">
      <c r="A78" s="378" t="s">
        <v>294</v>
      </c>
      <c r="B78" s="379"/>
      <c r="C78" s="379"/>
      <c r="D78" s="379"/>
      <c r="E78" s="379"/>
    </row>
    <row r="79" spans="1:5" ht="15.75" x14ac:dyDescent="0.25">
      <c r="A79" s="378" t="s">
        <v>295</v>
      </c>
      <c r="B79" s="379"/>
      <c r="C79" s="379"/>
      <c r="D79" s="379"/>
      <c r="E79" s="379"/>
    </row>
    <row r="80" spans="1:5" ht="15.75" x14ac:dyDescent="0.25">
      <c r="A80" s="379"/>
      <c r="B80" s="379"/>
      <c r="C80" s="379"/>
      <c r="D80" s="379"/>
      <c r="E80" s="379"/>
    </row>
    <row r="81" spans="1:5" ht="15.75" x14ac:dyDescent="0.25">
      <c r="A81" s="380" t="s">
        <v>296</v>
      </c>
      <c r="B81" s="379"/>
      <c r="C81" s="379"/>
      <c r="D81" s="379"/>
      <c r="E81" s="379"/>
    </row>
    <row r="82" spans="1:5" ht="15.75" x14ac:dyDescent="0.25">
      <c r="A82" s="380" t="s">
        <v>297</v>
      </c>
      <c r="B82" s="379"/>
      <c r="C82" s="379"/>
      <c r="D82" s="379"/>
      <c r="E82" s="379"/>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DA4C4-6A43-4094-BD19-0ED2FC7013A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011882C0-45DC-46C4-B74E-86E5A432135E}"/>
</file>

<file path=customXml/itemProps3.xml><?xml version="1.0" encoding="utf-8"?>
<ds:datastoreItem xmlns:ds="http://schemas.openxmlformats.org/officeDocument/2006/customXml" ds:itemID="{3D104993-4C65-4D2B-B8B7-BF99278D82AE}">
  <ds:schemaRefs>
    <ds:schemaRef ds:uri="http://schemas.microsoft.com/office/2006/metadata/longProperties"/>
  </ds:schemaRefs>
</ds:datastoreItem>
</file>

<file path=customXml/itemProps4.xml><?xml version="1.0" encoding="utf-8"?>
<ds:datastoreItem xmlns:ds="http://schemas.openxmlformats.org/officeDocument/2006/customXml" ds:itemID="{963BB48E-CBD5-4A01-9483-371C3B7D7C77}">
  <ds:schemaRefs>
    <ds:schemaRef ds:uri="http://schemas.microsoft.com/sharepoint/v3/contenttype/forms"/>
  </ds:schemaRefs>
</ds:datastoreItem>
</file>

<file path=customXml/itemProps5.xml><?xml version="1.0" encoding="utf-8"?>
<ds:datastoreItem xmlns:ds="http://schemas.openxmlformats.org/officeDocument/2006/customXml" ds:itemID="{14402C16-792B-4464-8250-C7C385198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Fresno_FY16-17_RER_ADA</dc:title>
  <dc:creator>Donna Ures</dc:creator>
  <cp:keywords>Fresno_FY16-17_RER_ADA</cp:keywords>
  <cp:lastModifiedBy>westj</cp:lastModifiedBy>
  <cp:lastPrinted>2017-12-26T19:20:36Z</cp:lastPrinted>
  <dcterms:created xsi:type="dcterms:W3CDTF">2017-07-05T19:48:18Z</dcterms:created>
  <dcterms:modified xsi:type="dcterms:W3CDTF">2020-11-07T03:40:49Z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DHCSDOC-1363137784-1552</vt:lpwstr>
  </property>
  <property fmtid="{D5CDD505-2E9C-101B-9397-08002B2CF9AE}" pid="5" name="_dlc_DocIdItemGuid">
    <vt:lpwstr>5ed5da4f-13a8-4dd5-85f0-b59b189e766e</vt:lpwstr>
  </property>
  <property fmtid="{D5CDD505-2E9C-101B-9397-08002B2CF9AE}" pid="6" name="_dlc_DocIdUrl">
    <vt:lpwstr>http://dhcs2016prod:88/services/MH/_layouts/15/DocIdRedir.aspx?ID=DHCSDOC-1363137784-1552, DHCSDOC-1363137784-1552</vt:lpwstr>
  </property>
  <property fmtid="{D5CDD505-2E9C-101B-9397-08002B2CF9AE}" pid="7" name="ContentTypeId">
    <vt:lpwstr>0x0101000DD778A44A894D44A57135C48A267F0A</vt:lpwstr>
  </property>
</Properties>
</file>