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87B8AF4B-7780-4AAD-BC15-C92E860FACD4}" xr6:coauthVersionLast="45" xr6:coauthVersionMax="45" xr10:uidLastSave="{00000000-0000-0000-0000-000000000000}"/>
  <bookViews>
    <workbookView xWindow="-120" yWindow="-120" windowWidth="20730" windowHeight="10545" tabRatio="849" firstSheet="11" activeTab="18" xr2:uid="{00000000-000D-0000-FFFF-FFFF00000000}"/>
  </bookViews>
  <sheets>
    <sheet name="Worksheet" sheetId="28" r:id="rId1"/>
    <sheet name="CoverLetter" sheetId="29" r:id="rId2"/>
    <sheet name="Unspent" sheetId="10" r:id="rId3"/>
    <sheet name="County Summary" sheetId="12" r:id="rId4"/>
    <sheet name="CPP" sheetId="13" r:id="rId5"/>
    <sheet name="WET Summary" sheetId="8" r:id="rId6"/>
    <sheet name="PEI" sheetId="30" r:id="rId7"/>
    <sheet name="CSS Summary" sheetId="6" r:id="rId8"/>
    <sheet name="CSS Work Plan Summary" sheetId="5" r:id="rId9"/>
    <sheet name="CSS Pgm 1" sheetId="1" r:id="rId10"/>
    <sheet name="CSS Pgm 2" sheetId="7" r:id="rId11"/>
    <sheet name="CSS Pgm 3" sheetId="15" r:id="rId12"/>
    <sheet name="CSS Pgm 4" sheetId="16" r:id="rId13"/>
    <sheet name="CSS Pgm 5" sheetId="17" r:id="rId14"/>
    <sheet name="CSS Pgm 6" sheetId="18" r:id="rId15"/>
    <sheet name="CSS Pgm 7" sheetId="19" r:id="rId16"/>
    <sheet name="CSS Pgm 8" sheetId="20" r:id="rId17"/>
    <sheet name="CSS Pgm 9" sheetId="21" r:id="rId18"/>
    <sheet name="CSS Pgm 10" sheetId="22" r:id="rId19"/>
    <sheet name="CSS Pgm 11" sheetId="23" r:id="rId20"/>
    <sheet name="CSS Pgm 12" sheetId="24" r:id="rId21"/>
    <sheet name="CSS Pgm 13" sheetId="25" r:id="rId22"/>
    <sheet name="CSS Pgm 14" sheetId="26" r:id="rId23"/>
    <sheet name="CSS Pgm 15" sheetId="27" r:id="rId24"/>
  </sheets>
  <definedNames>
    <definedName name="_xlnm._FilterDatabase" localSheetId="9" hidden="1">'CSS Pgm 1'!$A$8:$P$59</definedName>
    <definedName name="_Pgm1" localSheetId="3">'County Summary'!$D$3</definedName>
    <definedName name="_Pgm1" localSheetId="4">CPP!$D$3</definedName>
    <definedName name="_Pgm1" localSheetId="7">'CSS Summary'!$D$3</definedName>
    <definedName name="_Pgm1" localSheetId="8">'CSS Work Plan Summary'!$D$3</definedName>
    <definedName name="_Pgm1" localSheetId="6">PEI!$D$3</definedName>
    <definedName name="_Pgm1" localSheetId="2">Unspent!$D$3</definedName>
    <definedName name="_Pgm1" localSheetId="5">'WET Summary'!$D$3</definedName>
    <definedName name="_Pgm1">'CSS Pgm 1'!$E$3</definedName>
    <definedName name="_pgm10">'CSS Pgm 10'!$E$3</definedName>
    <definedName name="_Pgm11">'CSS Pgm 11'!$E$3</definedName>
    <definedName name="_Pgm12">'CSS Pgm 12'!$E$3</definedName>
    <definedName name="_Pgm13">'CSS Pgm 13'!$E$3</definedName>
    <definedName name="_Pgm14">'CSS Pgm 14'!$E$3</definedName>
    <definedName name="_Pgm15">'CSS Pgm 15'!$E$3</definedName>
    <definedName name="_Pgm2" localSheetId="18">'CSS Pgm 10'!$E$3</definedName>
    <definedName name="_Pgm2" localSheetId="19">'CSS Pgm 11'!$E$3</definedName>
    <definedName name="_Pgm2" localSheetId="20">'CSS Pgm 12'!$E$3</definedName>
    <definedName name="_Pgm2" localSheetId="21">'CSS Pgm 13'!$E$3</definedName>
    <definedName name="_Pgm2" localSheetId="22">'CSS Pgm 14'!$E$3</definedName>
    <definedName name="_Pgm2" localSheetId="23">'CSS Pgm 15'!$E$3</definedName>
    <definedName name="_Pgm2" localSheetId="11">'CSS Pgm 3'!$E$3</definedName>
    <definedName name="_Pgm2" localSheetId="12">'CSS Pgm 4'!$E$3</definedName>
    <definedName name="_Pgm2" localSheetId="13">'CSS Pgm 5'!$E$3</definedName>
    <definedName name="_Pgm2" localSheetId="14">'CSS Pgm 6'!$E$3</definedName>
    <definedName name="_Pgm2" localSheetId="15">'CSS Pgm 7'!$E$3</definedName>
    <definedName name="_Pgm2" localSheetId="16">'CSS Pgm 8'!$E$3</definedName>
    <definedName name="_Pgm2" localSheetId="17">'CSS Pgm 9'!$E$3</definedName>
    <definedName name="_Pgm2">'CSS Pgm 2'!$E$3</definedName>
    <definedName name="_Pgm3">'CSS Pgm 3'!$E$3</definedName>
    <definedName name="_Pgm4">'CSS Pgm 4'!$E$3</definedName>
    <definedName name="_Pgm5">'CSS Pgm 5'!$E$3</definedName>
    <definedName name="_Pgm6">'CSS Pgm 6'!$E$3</definedName>
    <definedName name="_Pgm7">'CSS Pgm 7'!$E$3</definedName>
    <definedName name="_Pgm8">'CSS Pgm 8'!$E$3</definedName>
    <definedName name="_Pgm9">'CSS Pgm 9'!$E$3</definedName>
    <definedName name="CSS_Pgm1">'CSS Pgm 1'!$E$3</definedName>
    <definedName name="_xlnm.Print_Area" localSheetId="3">'County Summary'!$A$1:$O$18</definedName>
    <definedName name="_xlnm.Print_Area" localSheetId="1">CoverLetter!$A$1:$K$31</definedName>
    <definedName name="_xlnm.Print_Area" localSheetId="4">CPP!$A$1:$O$11</definedName>
    <definedName name="_xlnm.Print_Area" localSheetId="9">'CSS Pgm 1'!$B$1:$P$60</definedName>
    <definedName name="_xlnm.Print_Area" localSheetId="18">'CSS Pgm 10'!$B$1:$P$59</definedName>
    <definedName name="_xlnm.Print_Area" localSheetId="19">'CSS Pgm 11'!$B$1:$P$59</definedName>
    <definedName name="_xlnm.Print_Area" localSheetId="20">'CSS Pgm 12'!$B$1:$P$59</definedName>
    <definedName name="_xlnm.Print_Area" localSheetId="21">'CSS Pgm 13'!$B$1:$P$59</definedName>
    <definedName name="_xlnm.Print_Area" localSheetId="22">'CSS Pgm 14'!$B$1:$P$59</definedName>
    <definedName name="_xlnm.Print_Area" localSheetId="23">'CSS Pgm 15'!$B$1:$P$59</definedName>
    <definedName name="_xlnm.Print_Area" localSheetId="10">'CSS Pgm 2'!$B$1:$P$60</definedName>
    <definedName name="_xlnm.Print_Area" localSheetId="11">'CSS Pgm 3'!$B$1:$P$60</definedName>
    <definedName name="_xlnm.Print_Area" localSheetId="12">'CSS Pgm 4'!$B$1:$P$60</definedName>
    <definedName name="_xlnm.Print_Area" localSheetId="13">'CSS Pgm 5'!$B$1:$P$60</definedName>
    <definedName name="_xlnm.Print_Area" localSheetId="14">'CSS Pgm 6'!$B$1:$P$60</definedName>
    <definedName name="_xlnm.Print_Area" localSheetId="15">'CSS Pgm 7'!$B$1:$P$60</definedName>
    <definedName name="_xlnm.Print_Area" localSheetId="16">'CSS Pgm 8'!$B$1:$P$60</definedName>
    <definedName name="_xlnm.Print_Area" localSheetId="17">'CSS Pgm 9'!$B$1:$P$60</definedName>
    <definedName name="_xlnm.Print_Area" localSheetId="7">'CSS Summary'!$A$1:$O$56</definedName>
    <definedName name="_xlnm.Print_Area" localSheetId="8">'CSS Work Plan Summary'!$A$1:$O$59</definedName>
    <definedName name="_xlnm.Print_Area" localSheetId="6">PEI!$A$1:$O$10</definedName>
    <definedName name="_xlnm.Print_Area" localSheetId="2">Unspent!$A$1:$K$17</definedName>
    <definedName name="_xlnm.Print_Area" localSheetId="5">'WET Summary'!$A$1:$O$23</definedName>
    <definedName name="_xlnm.Print_Area" localSheetId="0">Worksheet!$A$1:$R$358</definedName>
    <definedName name="_xlnm.Print_Titles" localSheetId="1">CoverLetter!$1:$12</definedName>
  </definedNames>
  <calcPr calcId="191029"/>
</workbook>
</file>

<file path=xl/calcChain.xml><?xml version="1.0" encoding="utf-8"?>
<calcChain xmlns="http://schemas.openxmlformats.org/spreadsheetml/2006/main">
  <c r="R52" i="5" l="1"/>
  <c r="P52" i="5"/>
  <c r="Q52" i="5" s="1"/>
  <c r="R46" i="5"/>
  <c r="Q46" i="5" s="1"/>
  <c r="P46" i="5"/>
  <c r="R45" i="5"/>
  <c r="P45" i="5"/>
  <c r="Q45" i="5" s="1"/>
  <c r="R39" i="5"/>
  <c r="P39" i="5"/>
  <c r="Q39" i="5" s="1"/>
  <c r="R35" i="5"/>
  <c r="P35" i="5"/>
  <c r="Q35" i="5" s="1"/>
  <c r="R34" i="5"/>
  <c r="P34" i="5"/>
  <c r="Q34" i="5" s="1"/>
  <c r="R29" i="5"/>
  <c r="P29" i="5"/>
  <c r="R25" i="5"/>
  <c r="P25" i="5"/>
  <c r="Q25" i="5"/>
  <c r="R24" i="5"/>
  <c r="P24" i="5"/>
  <c r="Q24" i="5"/>
  <c r="R23" i="5"/>
  <c r="P23" i="5"/>
  <c r="R16" i="5"/>
  <c r="P16" i="5"/>
  <c r="Q16" i="5" s="1"/>
  <c r="R10" i="5"/>
  <c r="Q10" i="5" s="1"/>
  <c r="P10" i="5"/>
  <c r="R9" i="5"/>
  <c r="P9" i="5"/>
  <c r="Q9" i="5" s="1"/>
  <c r="R8" i="5"/>
  <c r="P8" i="5"/>
  <c r="Q8" i="5" s="1"/>
  <c r="R51" i="6"/>
  <c r="P51" i="6"/>
  <c r="Q51" i="6" s="1"/>
  <c r="R50" i="6"/>
  <c r="P50" i="6"/>
  <c r="Q50" i="6"/>
  <c r="R49" i="6"/>
  <c r="Q49" i="6" s="1"/>
  <c r="R46" i="6"/>
  <c r="P46" i="6"/>
  <c r="Q46" i="6"/>
  <c r="R44" i="6"/>
  <c r="Q44" i="6" s="1"/>
  <c r="P44" i="6"/>
  <c r="R43" i="6"/>
  <c r="P43" i="6"/>
  <c r="Q43" i="6" s="1"/>
  <c r="R42" i="6"/>
  <c r="P42" i="6"/>
  <c r="Q42" i="6" s="1"/>
  <c r="R41" i="6"/>
  <c r="Q41" i="6" s="1"/>
  <c r="P41" i="6"/>
  <c r="R39" i="6"/>
  <c r="P39" i="6"/>
  <c r="Q39" i="6" s="1"/>
  <c r="R38" i="6"/>
  <c r="P38" i="6"/>
  <c r="Q38" i="6" s="1"/>
  <c r="R37" i="6"/>
  <c r="P37" i="6"/>
  <c r="R36" i="6"/>
  <c r="P36" i="6"/>
  <c r="Q36" i="6"/>
  <c r="R35" i="6"/>
  <c r="P35" i="6"/>
  <c r="Q35" i="6"/>
  <c r="R33" i="6"/>
  <c r="Q33" i="6" s="1"/>
  <c r="P33" i="6"/>
  <c r="R32" i="6"/>
  <c r="P32" i="6"/>
  <c r="Q32" i="6" s="1"/>
  <c r="R31" i="6"/>
  <c r="Q31" i="6" s="1"/>
  <c r="P31" i="6"/>
  <c r="R30" i="6"/>
  <c r="P30" i="6"/>
  <c r="Q30" i="6" s="1"/>
  <c r="R29" i="6"/>
  <c r="P29" i="6"/>
  <c r="Q29" i="6" s="1"/>
  <c r="R28" i="6"/>
  <c r="P28" i="6"/>
  <c r="R27" i="6"/>
  <c r="P27" i="6"/>
  <c r="Q27" i="6"/>
  <c r="R26" i="6"/>
  <c r="P26" i="6"/>
  <c r="Q26" i="6"/>
  <c r="R25" i="6"/>
  <c r="P25" i="6"/>
  <c r="R24" i="6"/>
  <c r="P24" i="6"/>
  <c r="Q24" i="6" s="1"/>
  <c r="R8" i="6"/>
  <c r="Q8" i="6" s="1"/>
  <c r="P8" i="6"/>
  <c r="R22" i="30"/>
  <c r="P22" i="30"/>
  <c r="Q22" i="30" s="1"/>
  <c r="R21" i="30"/>
  <c r="P21" i="30"/>
  <c r="Q21" i="30" s="1"/>
  <c r="R20" i="30"/>
  <c r="Q20" i="30" s="1"/>
  <c r="P20" i="30"/>
  <c r="R19" i="30"/>
  <c r="P19" i="30"/>
  <c r="Q19" i="30" s="1"/>
  <c r="R18" i="30"/>
  <c r="Q18" i="30" s="1"/>
  <c r="P18" i="30"/>
  <c r="R17" i="30"/>
  <c r="P17" i="30"/>
  <c r="Q17" i="30" s="1"/>
  <c r="R16" i="30"/>
  <c r="P16" i="30"/>
  <c r="Q16" i="30" s="1"/>
  <c r="R15" i="30"/>
  <c r="P15" i="30"/>
  <c r="Q15" i="30" s="1"/>
  <c r="R14" i="30"/>
  <c r="P14" i="30"/>
  <c r="Q14" i="30"/>
  <c r="R13" i="30"/>
  <c r="P13" i="30"/>
  <c r="Q13" i="30" s="1"/>
  <c r="R12" i="30"/>
  <c r="P12" i="30"/>
  <c r="Q12" i="30" s="1"/>
  <c r="R11" i="30"/>
  <c r="P11" i="30"/>
  <c r="Q11" i="30" s="1"/>
  <c r="P8" i="30"/>
  <c r="P11" i="8"/>
  <c r="Q11" i="8" s="1"/>
  <c r="R11" i="8"/>
  <c r="P12" i="8"/>
  <c r="Q12" i="8" s="1"/>
  <c r="R12" i="8"/>
  <c r="P13" i="8"/>
  <c r="R13" i="8"/>
  <c r="P15" i="8"/>
  <c r="R15" i="8"/>
  <c r="P16" i="8"/>
  <c r="R16" i="8"/>
  <c r="Q16" i="8" s="1"/>
  <c r="P17" i="8"/>
  <c r="Q17" i="8" s="1"/>
  <c r="R17" i="8"/>
  <c r="P18" i="8"/>
  <c r="R18" i="8"/>
  <c r="P19" i="8"/>
  <c r="R19" i="8"/>
  <c r="P20" i="8"/>
  <c r="R20" i="8"/>
  <c r="R9" i="8"/>
  <c r="Q9" i="8" s="1"/>
  <c r="P9" i="8"/>
  <c r="R8" i="8"/>
  <c r="P8" i="8"/>
  <c r="Q8" i="8" s="1"/>
  <c r="R17" i="13"/>
  <c r="P17" i="13"/>
  <c r="Q17" i="13" s="1"/>
  <c r="R16" i="13"/>
  <c r="P16" i="13"/>
  <c r="Q16" i="13" s="1"/>
  <c r="R15" i="13"/>
  <c r="P15" i="13"/>
  <c r="Q15" i="13"/>
  <c r="R14" i="13"/>
  <c r="P14" i="13"/>
  <c r="Q14" i="13" s="1"/>
  <c r="R13" i="13"/>
  <c r="P13" i="13"/>
  <c r="Q13" i="13" s="1"/>
  <c r="R12" i="13"/>
  <c r="P12" i="13"/>
  <c r="Q12" i="13" s="1"/>
  <c r="R10" i="13"/>
  <c r="P10" i="13"/>
  <c r="Q10" i="13" s="1"/>
  <c r="R9" i="13"/>
  <c r="P9" i="13"/>
  <c r="Q9" i="13" s="1"/>
  <c r="R8" i="13"/>
  <c r="P8" i="13"/>
  <c r="R15" i="12"/>
  <c r="P15" i="12"/>
  <c r="Q15" i="12" s="1"/>
  <c r="R12" i="12"/>
  <c r="Q12" i="12" s="1"/>
  <c r="P12" i="12"/>
  <c r="R8" i="12"/>
  <c r="P8" i="12"/>
  <c r="Q8" i="12" s="1"/>
  <c r="F61" i="5"/>
  <c r="G61" i="5"/>
  <c r="I27" i="28"/>
  <c r="J27" i="28"/>
  <c r="K27" i="28"/>
  <c r="O14" i="8"/>
  <c r="O21" i="8"/>
  <c r="O22" i="8" s="1"/>
  <c r="O11" i="12" s="1"/>
  <c r="O10" i="30"/>
  <c r="O13" i="12"/>
  <c r="H21" i="12"/>
  <c r="O21" i="12"/>
  <c r="N14" i="8"/>
  <c r="N21" i="8"/>
  <c r="N22" i="8" s="1"/>
  <c r="N11" i="12" s="1"/>
  <c r="N10" i="30"/>
  <c r="N13" i="12" s="1"/>
  <c r="M14" i="8"/>
  <c r="M21" i="8"/>
  <c r="M22" i="8"/>
  <c r="M11" i="12" s="1"/>
  <c r="M10" i="30"/>
  <c r="M13" i="12" s="1"/>
  <c r="L14" i="8"/>
  <c r="L21" i="8"/>
  <c r="L10" i="30"/>
  <c r="L13" i="12" s="1"/>
  <c r="K40" i="6"/>
  <c r="K45" i="6"/>
  <c r="K52" i="6"/>
  <c r="K53" i="6" s="1"/>
  <c r="L15" i="1"/>
  <c r="L21" i="1"/>
  <c r="L22" i="1"/>
  <c r="L28" i="1"/>
  <c r="L33" i="1" s="1"/>
  <c r="L32" i="1"/>
  <c r="L38" i="1"/>
  <c r="L42" i="1"/>
  <c r="L57" i="1"/>
  <c r="L58" i="1" s="1"/>
  <c r="L51" i="1"/>
  <c r="L15" i="7"/>
  <c r="L21" i="7"/>
  <c r="L22" i="7" s="1"/>
  <c r="L28" i="7"/>
  <c r="L32" i="7"/>
  <c r="L33" i="7" s="1"/>
  <c r="L38" i="7"/>
  <c r="L42" i="7"/>
  <c r="L43" i="7" s="1"/>
  <c r="L57" i="7"/>
  <c r="L51" i="7"/>
  <c r="L15" i="15"/>
  <c r="L21" i="15"/>
  <c r="L28" i="15"/>
  <c r="L32" i="15"/>
  <c r="L33" i="15" s="1"/>
  <c r="L38" i="15"/>
  <c r="L42" i="15"/>
  <c r="L43" i="15" s="1"/>
  <c r="L57" i="15"/>
  <c r="L51" i="15"/>
  <c r="L58" i="15" s="1"/>
  <c r="L15" i="16"/>
  <c r="L21" i="16"/>
  <c r="L28" i="16"/>
  <c r="L32" i="16"/>
  <c r="L33" i="16" s="1"/>
  <c r="L38" i="16"/>
  <c r="L42" i="16"/>
  <c r="L43" i="16" s="1"/>
  <c r="L57" i="16"/>
  <c r="L51" i="16"/>
  <c r="L15" i="17"/>
  <c r="L21" i="17"/>
  <c r="L28" i="17"/>
  <c r="L32" i="17"/>
  <c r="L33" i="17" s="1"/>
  <c r="L38" i="17"/>
  <c r="L43" i="17" s="1"/>
  <c r="L42" i="17"/>
  <c r="L57" i="17"/>
  <c r="L51" i="17"/>
  <c r="L58" i="17" s="1"/>
  <c r="L15" i="18"/>
  <c r="L21" i="18"/>
  <c r="L28" i="18"/>
  <c r="L32" i="18"/>
  <c r="L38" i="18"/>
  <c r="L42" i="18"/>
  <c r="L57" i="18"/>
  <c r="L51" i="18"/>
  <c r="L58" i="18" s="1"/>
  <c r="L15" i="19"/>
  <c r="L22" i="19" s="1"/>
  <c r="L21" i="19"/>
  <c r="L28" i="19"/>
  <c r="L33" i="19"/>
  <c r="L32" i="19"/>
  <c r="L38" i="19"/>
  <c r="L42" i="19"/>
  <c r="L43" i="19" s="1"/>
  <c r="L57" i="19"/>
  <c r="L58" i="19" s="1"/>
  <c r="L51" i="19"/>
  <c r="L15" i="20"/>
  <c r="L21" i="20"/>
  <c r="L28" i="20"/>
  <c r="L33" i="20" s="1"/>
  <c r="L32" i="20"/>
  <c r="L38" i="20"/>
  <c r="L43" i="20" s="1"/>
  <c r="L44" i="20" s="1"/>
  <c r="L42" i="20"/>
  <c r="L57" i="20"/>
  <c r="L51" i="20"/>
  <c r="L58" i="20" s="1"/>
  <c r="L15" i="21"/>
  <c r="L22" i="21" s="1"/>
  <c r="L21" i="21"/>
  <c r="L28" i="21"/>
  <c r="L32" i="21"/>
  <c r="L38" i="21"/>
  <c r="L42" i="21"/>
  <c r="L43" i="21"/>
  <c r="L57" i="21"/>
  <c r="L58" i="21" s="1"/>
  <c r="L51" i="21"/>
  <c r="L15" i="22"/>
  <c r="L21" i="22"/>
  <c r="L28" i="22"/>
  <c r="L33" i="22" s="1"/>
  <c r="L32" i="22"/>
  <c r="L38" i="22"/>
  <c r="L43" i="22"/>
  <c r="L42" i="22"/>
  <c r="L57" i="22"/>
  <c r="L51" i="22"/>
  <c r="L58" i="22"/>
  <c r="L15" i="23"/>
  <c r="L22" i="23" s="1"/>
  <c r="L21" i="23"/>
  <c r="L28" i="23"/>
  <c r="L33" i="23"/>
  <c r="L32" i="23"/>
  <c r="L38" i="23"/>
  <c r="L42" i="23"/>
  <c r="L43" i="23" s="1"/>
  <c r="L57" i="23"/>
  <c r="L51" i="23"/>
  <c r="L15" i="24"/>
  <c r="L21" i="24"/>
  <c r="L28" i="24"/>
  <c r="L33" i="24" s="1"/>
  <c r="L32" i="24"/>
  <c r="L38" i="24"/>
  <c r="L42" i="24"/>
  <c r="L43" i="24"/>
  <c r="L44" i="24" s="1"/>
  <c r="L57" i="24"/>
  <c r="L58" i="24" s="1"/>
  <c r="L51" i="24"/>
  <c r="L15" i="25"/>
  <c r="L21" i="25"/>
  <c r="L28" i="25"/>
  <c r="L33" i="25" s="1"/>
  <c r="L32" i="25"/>
  <c r="L38" i="25"/>
  <c r="L42" i="25"/>
  <c r="L57" i="25"/>
  <c r="L51" i="25"/>
  <c r="L15" i="26"/>
  <c r="L22" i="26" s="1"/>
  <c r="L21" i="26"/>
  <c r="L28" i="26"/>
  <c r="L32" i="26"/>
  <c r="L38" i="26"/>
  <c r="L43" i="26" s="1"/>
  <c r="L42" i="26"/>
  <c r="L57" i="26"/>
  <c r="L51" i="26"/>
  <c r="L15" i="27"/>
  <c r="L21" i="27"/>
  <c r="L28" i="27"/>
  <c r="L32" i="27"/>
  <c r="L33" i="27" s="1"/>
  <c r="L38" i="27"/>
  <c r="L42" i="27"/>
  <c r="L43" i="27"/>
  <c r="L57" i="27"/>
  <c r="L51" i="27"/>
  <c r="K14" i="8"/>
  <c r="K21" i="8"/>
  <c r="K10" i="30"/>
  <c r="K13" i="12" s="1"/>
  <c r="H14" i="8"/>
  <c r="H22" i="8" s="1"/>
  <c r="H11" i="12" s="1"/>
  <c r="H21" i="8"/>
  <c r="H10" i="30"/>
  <c r="H13" i="12" s="1"/>
  <c r="I10" i="30"/>
  <c r="I13" i="12" s="1"/>
  <c r="I14" i="8"/>
  <c r="I22" i="8" s="1"/>
  <c r="I11" i="12" s="1"/>
  <c r="I21" i="8"/>
  <c r="O2" i="12"/>
  <c r="D2" i="12"/>
  <c r="G11" i="13"/>
  <c r="O11" i="13"/>
  <c r="O9" i="12"/>
  <c r="N11" i="13"/>
  <c r="N9" i="12" s="1"/>
  <c r="M11" i="13"/>
  <c r="M9" i="12"/>
  <c r="L11" i="13"/>
  <c r="L9" i="12" s="1"/>
  <c r="K11" i="13"/>
  <c r="K9" i="12" s="1"/>
  <c r="J11" i="13"/>
  <c r="J9" i="12" s="1"/>
  <c r="I11" i="13"/>
  <c r="I9" i="12"/>
  <c r="H11" i="13"/>
  <c r="H9" i="12" s="1"/>
  <c r="F11" i="13"/>
  <c r="R11" i="13"/>
  <c r="I40" i="6"/>
  <c r="I53" i="6" s="1"/>
  <c r="I45" i="6"/>
  <c r="I52" i="6"/>
  <c r="J15" i="1"/>
  <c r="J22" i="1"/>
  <c r="J21" i="1"/>
  <c r="J28" i="1"/>
  <c r="J32" i="1"/>
  <c r="J33" i="1" s="1"/>
  <c r="J38" i="1"/>
  <c r="J42" i="1"/>
  <c r="J57" i="1"/>
  <c r="J51" i="1"/>
  <c r="J15" i="7"/>
  <c r="J21" i="7"/>
  <c r="J28" i="7"/>
  <c r="J32" i="7"/>
  <c r="J33" i="7" s="1"/>
  <c r="J38" i="7"/>
  <c r="J43" i="7" s="1"/>
  <c r="J42" i="7"/>
  <c r="J57" i="7"/>
  <c r="J51" i="7"/>
  <c r="J15" i="15"/>
  <c r="J22" i="15" s="1"/>
  <c r="J21" i="15"/>
  <c r="J28" i="15"/>
  <c r="J33" i="15" s="1"/>
  <c r="J32" i="15"/>
  <c r="J38" i="15"/>
  <c r="J42" i="15"/>
  <c r="J57" i="15"/>
  <c r="J51" i="15"/>
  <c r="J15" i="16"/>
  <c r="J21" i="16"/>
  <c r="J28" i="16"/>
  <c r="J33" i="16" s="1"/>
  <c r="J32" i="16"/>
  <c r="J38" i="16"/>
  <c r="J43" i="16" s="1"/>
  <c r="J42" i="16"/>
  <c r="J57" i="16"/>
  <c r="J51" i="16"/>
  <c r="J15" i="17"/>
  <c r="J21" i="17"/>
  <c r="J28" i="17"/>
  <c r="J32" i="17"/>
  <c r="J38" i="17"/>
  <c r="J43" i="17" s="1"/>
  <c r="J42" i="17"/>
  <c r="J57" i="17"/>
  <c r="J51" i="17"/>
  <c r="J15" i="18"/>
  <c r="J22" i="18" s="1"/>
  <c r="J21" i="18"/>
  <c r="J28" i="18"/>
  <c r="J32" i="18"/>
  <c r="J33" i="18" s="1"/>
  <c r="J38" i="18"/>
  <c r="J42" i="18"/>
  <c r="J57" i="18"/>
  <c r="J58" i="18" s="1"/>
  <c r="J51" i="18"/>
  <c r="J15" i="19"/>
  <c r="J21" i="19"/>
  <c r="J22" i="19"/>
  <c r="J28" i="19"/>
  <c r="J33" i="19" s="1"/>
  <c r="J32" i="19"/>
  <c r="J38" i="19"/>
  <c r="J42" i="19"/>
  <c r="J57" i="19"/>
  <c r="J58" i="19" s="1"/>
  <c r="J51" i="19"/>
  <c r="J15" i="20"/>
  <c r="J21" i="20"/>
  <c r="J28" i="20"/>
  <c r="J32" i="20"/>
  <c r="J38" i="20"/>
  <c r="J42" i="20"/>
  <c r="J57" i="20"/>
  <c r="J51" i="20"/>
  <c r="J58" i="20" s="1"/>
  <c r="J15" i="21"/>
  <c r="J22" i="21" s="1"/>
  <c r="J21" i="21"/>
  <c r="J28" i="21"/>
  <c r="J32" i="21"/>
  <c r="J38" i="21"/>
  <c r="J42" i="21"/>
  <c r="J57" i="21"/>
  <c r="J51" i="21"/>
  <c r="J58" i="21" s="1"/>
  <c r="J15" i="22"/>
  <c r="J21" i="22"/>
  <c r="J28" i="22"/>
  <c r="J32" i="22"/>
  <c r="J38" i="22"/>
  <c r="J43" i="22" s="1"/>
  <c r="J42" i="22"/>
  <c r="J57" i="22"/>
  <c r="J51" i="22"/>
  <c r="J58" i="22" s="1"/>
  <c r="J15" i="23"/>
  <c r="J21" i="23"/>
  <c r="J28" i="23"/>
  <c r="J32" i="23"/>
  <c r="J38" i="23"/>
  <c r="J43" i="23" s="1"/>
  <c r="J42" i="23"/>
  <c r="J57" i="23"/>
  <c r="J51" i="23"/>
  <c r="J58" i="23" s="1"/>
  <c r="J15" i="24"/>
  <c r="J21" i="24"/>
  <c r="J22" i="24"/>
  <c r="J28" i="24"/>
  <c r="J32" i="24"/>
  <c r="J38" i="24"/>
  <c r="J42" i="24"/>
  <c r="J57" i="24"/>
  <c r="J51" i="24"/>
  <c r="J15" i="25"/>
  <c r="J21" i="25"/>
  <c r="J22" i="25" s="1"/>
  <c r="J28" i="25"/>
  <c r="J32" i="25"/>
  <c r="J38" i="25"/>
  <c r="J42" i="25"/>
  <c r="J43" i="25"/>
  <c r="J57" i="25"/>
  <c r="J51" i="25"/>
  <c r="J58" i="25" s="1"/>
  <c r="J15" i="26"/>
  <c r="J21" i="26"/>
  <c r="J28" i="26"/>
  <c r="J32" i="26"/>
  <c r="J38" i="26"/>
  <c r="J42" i="26"/>
  <c r="J57" i="26"/>
  <c r="J51" i="26"/>
  <c r="J58" i="26"/>
  <c r="J15" i="27"/>
  <c r="J22" i="27" s="1"/>
  <c r="J21" i="27"/>
  <c r="J28" i="27"/>
  <c r="J32" i="27"/>
  <c r="J38" i="27"/>
  <c r="J42" i="27"/>
  <c r="J43" i="27" s="1"/>
  <c r="J57" i="27"/>
  <c r="J58" i="27" s="1"/>
  <c r="J51" i="27"/>
  <c r="F10" i="8"/>
  <c r="R10" i="8"/>
  <c r="J10" i="8"/>
  <c r="J14" i="8" s="1"/>
  <c r="J22" i="8" s="1"/>
  <c r="J11" i="12" s="1"/>
  <c r="G21" i="8"/>
  <c r="F9" i="30"/>
  <c r="R9" i="30" s="1"/>
  <c r="J9" i="30"/>
  <c r="J10" i="30" s="1"/>
  <c r="J13" i="12" s="1"/>
  <c r="F8" i="30"/>
  <c r="F21" i="8"/>
  <c r="R21" i="8" s="1"/>
  <c r="J21" i="8"/>
  <c r="L40" i="6"/>
  <c r="L53" i="6" s="1"/>
  <c r="L45" i="6"/>
  <c r="L52" i="6"/>
  <c r="M15" i="1"/>
  <c r="M21" i="1"/>
  <c r="M28" i="1"/>
  <c r="M33" i="1" s="1"/>
  <c r="M32" i="1"/>
  <c r="M38" i="1"/>
  <c r="M42" i="1"/>
  <c r="M57" i="1"/>
  <c r="M51" i="1"/>
  <c r="M15" i="7"/>
  <c r="M22" i="7" s="1"/>
  <c r="M21" i="7"/>
  <c r="M28" i="7"/>
  <c r="M32" i="7"/>
  <c r="M38" i="7"/>
  <c r="M42" i="7"/>
  <c r="M43" i="7" s="1"/>
  <c r="M57" i="7"/>
  <c r="M58" i="7" s="1"/>
  <c r="M51" i="7"/>
  <c r="M15" i="15"/>
  <c r="M21" i="15"/>
  <c r="M28" i="15"/>
  <c r="M32" i="15"/>
  <c r="M38" i="15"/>
  <c r="M42" i="15"/>
  <c r="M57" i="15"/>
  <c r="M51" i="15"/>
  <c r="M15" i="16"/>
  <c r="M21" i="16"/>
  <c r="M28" i="16"/>
  <c r="M33" i="16" s="1"/>
  <c r="M32" i="16"/>
  <c r="M38" i="16"/>
  <c r="M42" i="16"/>
  <c r="M57" i="16"/>
  <c r="M51" i="16"/>
  <c r="M15" i="17"/>
  <c r="M21" i="17"/>
  <c r="M28" i="17"/>
  <c r="M32" i="17"/>
  <c r="M38" i="17"/>
  <c r="M42" i="17"/>
  <c r="M57" i="17"/>
  <c r="M51" i="17"/>
  <c r="M58" i="17"/>
  <c r="M15" i="18"/>
  <c r="M21" i="18"/>
  <c r="M28" i="18"/>
  <c r="M33" i="18"/>
  <c r="M32" i="18"/>
  <c r="M38" i="18"/>
  <c r="M42" i="18"/>
  <c r="M57" i="18"/>
  <c r="M58" i="18" s="1"/>
  <c r="M51" i="18"/>
  <c r="M15" i="19"/>
  <c r="B281" i="28"/>
  <c r="B280" i="28"/>
  <c r="B279" i="28"/>
  <c r="B278" i="28"/>
  <c r="B275" i="28"/>
  <c r="B274" i="28"/>
  <c r="B273" i="28"/>
  <c r="B272" i="28"/>
  <c r="B269" i="28"/>
  <c r="B268" i="28"/>
  <c r="B267" i="28"/>
  <c r="B266" i="28"/>
  <c r="H259" i="28"/>
  <c r="H261" i="28" s="1"/>
  <c r="H263" i="28" s="1"/>
  <c r="H277" i="28" s="1"/>
  <c r="H283" i="28" s="1"/>
  <c r="I259" i="28"/>
  <c r="I258" i="28"/>
  <c r="J259" i="28" s="1"/>
  <c r="Q259" i="28"/>
  <c r="M28" i="19"/>
  <c r="M38" i="19"/>
  <c r="M42" i="19"/>
  <c r="M51" i="19"/>
  <c r="M15" i="20"/>
  <c r="M21" i="20"/>
  <c r="M28" i="20"/>
  <c r="M32" i="20"/>
  <c r="M33" i="20" s="1"/>
  <c r="M38" i="20"/>
  <c r="M42" i="20"/>
  <c r="M57" i="20"/>
  <c r="M51" i="20"/>
  <c r="M15" i="21"/>
  <c r="M21" i="21"/>
  <c r="M28" i="21"/>
  <c r="M32" i="21"/>
  <c r="M38" i="21"/>
  <c r="M43" i="21" s="1"/>
  <c r="M42" i="21"/>
  <c r="M57" i="21"/>
  <c r="M58" i="21" s="1"/>
  <c r="M51" i="21"/>
  <c r="A89" i="22"/>
  <c r="A88" i="22"/>
  <c r="A87" i="22"/>
  <c r="A86" i="22"/>
  <c r="A83" i="22"/>
  <c r="A82" i="22"/>
  <c r="A81" i="22"/>
  <c r="A80" i="22"/>
  <c r="A77" i="22"/>
  <c r="A76" i="22"/>
  <c r="A75" i="22"/>
  <c r="A74" i="22"/>
  <c r="G69" i="22"/>
  <c r="G71" i="22"/>
  <c r="I65" i="22"/>
  <c r="I67" i="22"/>
  <c r="M38" i="22"/>
  <c r="M42" i="22"/>
  <c r="M43" i="22" s="1"/>
  <c r="M15" i="23"/>
  <c r="M22" i="23" s="1"/>
  <c r="M21" i="23"/>
  <c r="M28" i="23"/>
  <c r="M33" i="23" s="1"/>
  <c r="M32" i="23"/>
  <c r="M38" i="23"/>
  <c r="M43" i="23" s="1"/>
  <c r="M44" i="23" s="1"/>
  <c r="M59" i="23" s="1"/>
  <c r="L19" i="6" s="1"/>
  <c r="M42" i="23"/>
  <c r="M57" i="23"/>
  <c r="M51" i="23"/>
  <c r="M58" i="23" s="1"/>
  <c r="M15" i="24"/>
  <c r="M21" i="24"/>
  <c r="M28" i="24"/>
  <c r="M32" i="24"/>
  <c r="M38" i="24"/>
  <c r="M43" i="24" s="1"/>
  <c r="M42" i="24"/>
  <c r="M57" i="24"/>
  <c r="M51" i="24"/>
  <c r="M15" i="25"/>
  <c r="M21" i="25"/>
  <c r="M28" i="25"/>
  <c r="M32" i="25"/>
  <c r="M38" i="25"/>
  <c r="M42" i="25"/>
  <c r="M57" i="25"/>
  <c r="M51" i="25"/>
  <c r="M58" i="25" s="1"/>
  <c r="M15" i="26"/>
  <c r="M21" i="26"/>
  <c r="M28" i="26"/>
  <c r="M33" i="26"/>
  <c r="M32" i="26"/>
  <c r="M38" i="26"/>
  <c r="M43" i="26"/>
  <c r="M44" i="26"/>
  <c r="M42" i="26"/>
  <c r="M57" i="26"/>
  <c r="M51" i="26"/>
  <c r="M58" i="26"/>
  <c r="M15" i="27"/>
  <c r="M21" i="27"/>
  <c r="M22" i="27" s="1"/>
  <c r="M28" i="27"/>
  <c r="M33" i="27" s="1"/>
  <c r="M32" i="27"/>
  <c r="M38" i="27"/>
  <c r="M43" i="27" s="1"/>
  <c r="M42" i="27"/>
  <c r="M57" i="27"/>
  <c r="M51" i="27"/>
  <c r="O40" i="6"/>
  <c r="O53" i="6" s="1"/>
  <c r="O45" i="6"/>
  <c r="O52" i="6"/>
  <c r="B65" i="28"/>
  <c r="B64" i="28"/>
  <c r="B63" i="28"/>
  <c r="B62" i="28"/>
  <c r="B59" i="28"/>
  <c r="B58" i="28"/>
  <c r="B57" i="28"/>
  <c r="B56" i="28"/>
  <c r="B53" i="28"/>
  <c r="B52" i="28"/>
  <c r="B51" i="28"/>
  <c r="B50" i="28"/>
  <c r="H45" i="28"/>
  <c r="H47" i="28" s="1"/>
  <c r="H61" i="28" s="1"/>
  <c r="H67" i="28" s="1"/>
  <c r="I40" i="28"/>
  <c r="I41" i="28"/>
  <c r="J41" i="28" s="1"/>
  <c r="Q41" i="28"/>
  <c r="I42" i="28"/>
  <c r="I43" i="28"/>
  <c r="Q43" i="28"/>
  <c r="P38" i="1"/>
  <c r="P42" i="1"/>
  <c r="P43" i="1" s="1"/>
  <c r="B101" i="28"/>
  <c r="B100" i="28"/>
  <c r="B99" i="28"/>
  <c r="B98" i="28"/>
  <c r="B95" i="28"/>
  <c r="B94" i="28"/>
  <c r="B93" i="28"/>
  <c r="B92" i="28"/>
  <c r="B89" i="28"/>
  <c r="B88" i="28"/>
  <c r="B87" i="28"/>
  <c r="B86" i="28"/>
  <c r="H81" i="28"/>
  <c r="H83" i="28" s="1"/>
  <c r="H97" i="28" s="1"/>
  <c r="H103" i="28" s="1"/>
  <c r="I76" i="28"/>
  <c r="I77" i="28"/>
  <c r="Q77" i="28"/>
  <c r="I78" i="28"/>
  <c r="J79" i="28" s="1"/>
  <c r="I79" i="28"/>
  <c r="Q79" i="28"/>
  <c r="P38" i="7"/>
  <c r="P42" i="7"/>
  <c r="B137" i="28"/>
  <c r="B136" i="28"/>
  <c r="B135" i="28"/>
  <c r="B134" i="28"/>
  <c r="B131" i="28"/>
  <c r="B130" i="28"/>
  <c r="B129" i="28"/>
  <c r="B128" i="28"/>
  <c r="B125" i="28"/>
  <c r="B124" i="28"/>
  <c r="B123" i="28"/>
  <c r="B122" i="28"/>
  <c r="H112" i="28"/>
  <c r="H113" i="28"/>
  <c r="I112" i="28"/>
  <c r="I113" i="28"/>
  <c r="J113" i="28" s="1"/>
  <c r="Q113" i="28"/>
  <c r="I114" i="28"/>
  <c r="J115" i="28" s="1"/>
  <c r="I115" i="28"/>
  <c r="Q115" i="28"/>
  <c r="P38" i="15"/>
  <c r="P42" i="15"/>
  <c r="B173" i="28"/>
  <c r="B172" i="28"/>
  <c r="B171" i="28"/>
  <c r="B170" i="28"/>
  <c r="B167" i="28"/>
  <c r="B166" i="28"/>
  <c r="B165" i="28"/>
  <c r="B164" i="28"/>
  <c r="B161" i="28"/>
  <c r="B160" i="28"/>
  <c r="B159" i="28"/>
  <c r="B158" i="28"/>
  <c r="H149" i="28"/>
  <c r="H150" i="28"/>
  <c r="H151" i="28"/>
  <c r="I148" i="28"/>
  <c r="I149" i="28"/>
  <c r="Q149" i="28"/>
  <c r="I150" i="28"/>
  <c r="I151" i="28"/>
  <c r="Q151" i="28"/>
  <c r="P38" i="16"/>
  <c r="P43" i="16" s="1"/>
  <c r="P42" i="16"/>
  <c r="B209" i="28"/>
  <c r="B208" i="28"/>
  <c r="B207" i="28"/>
  <c r="B206" i="28"/>
  <c r="B203" i="28"/>
  <c r="B202" i="28"/>
  <c r="B201" i="28"/>
  <c r="B200" i="28"/>
  <c r="B197" i="28"/>
  <c r="B196" i="28"/>
  <c r="B195" i="28"/>
  <c r="B194" i="28"/>
  <c r="H189" i="28"/>
  <c r="H191" i="28"/>
  <c r="H205" i="28" s="1"/>
  <c r="H211" i="28" s="1"/>
  <c r="I184" i="28"/>
  <c r="J185" i="28" s="1"/>
  <c r="I185" i="28"/>
  <c r="Q185" i="28"/>
  <c r="Q189" i="28" s="1"/>
  <c r="I186" i="28"/>
  <c r="J187" i="28" s="1"/>
  <c r="I187" i="28"/>
  <c r="Q187" i="28"/>
  <c r="P38" i="17"/>
  <c r="P43" i="17" s="1"/>
  <c r="P42" i="17"/>
  <c r="B245" i="28"/>
  <c r="B244" i="28"/>
  <c r="B243" i="28"/>
  <c r="B242" i="28"/>
  <c r="B239" i="28"/>
  <c r="B238" i="28"/>
  <c r="B237" i="28"/>
  <c r="B236" i="28"/>
  <c r="B233" i="28"/>
  <c r="B232" i="28"/>
  <c r="B231" i="28"/>
  <c r="B230" i="28"/>
  <c r="H225" i="28"/>
  <c r="H227" i="28" s="1"/>
  <c r="I220" i="28"/>
  <c r="I221" i="28"/>
  <c r="Q221" i="28"/>
  <c r="I222" i="28"/>
  <c r="J223" i="28" s="1"/>
  <c r="I223" i="28"/>
  <c r="Q223" i="28"/>
  <c r="P37" i="18"/>
  <c r="O37" i="5" s="1"/>
  <c r="I256" i="28"/>
  <c r="I257" i="28"/>
  <c r="Q257" i="28"/>
  <c r="P38" i="19"/>
  <c r="P43" i="19" s="1"/>
  <c r="P42" i="19"/>
  <c r="B317" i="28"/>
  <c r="B316" i="28"/>
  <c r="B315" i="28"/>
  <c r="B314" i="28"/>
  <c r="B311" i="28"/>
  <c r="B310" i="28"/>
  <c r="B309" i="28"/>
  <c r="B308" i="28"/>
  <c r="B305" i="28"/>
  <c r="B304" i="28"/>
  <c r="B303" i="28"/>
  <c r="B302" i="28"/>
  <c r="H295" i="28"/>
  <c r="H297" i="28" s="1"/>
  <c r="H299" i="28" s="1"/>
  <c r="H313" i="28" s="1"/>
  <c r="H319" i="28"/>
  <c r="I292" i="28"/>
  <c r="J293" i="28" s="1"/>
  <c r="I293" i="28"/>
  <c r="Q293" i="28"/>
  <c r="I294" i="28"/>
  <c r="I295" i="28"/>
  <c r="Q295" i="28"/>
  <c r="P38" i="20"/>
  <c r="P42" i="20"/>
  <c r="B353" i="28"/>
  <c r="B352" i="28"/>
  <c r="B351" i="28"/>
  <c r="B350" i="28"/>
  <c r="B347" i="28"/>
  <c r="B346" i="28"/>
  <c r="B345" i="28"/>
  <c r="B344" i="28"/>
  <c r="B341" i="28"/>
  <c r="B340" i="28"/>
  <c r="B339" i="28"/>
  <c r="B338" i="28"/>
  <c r="H355" i="28"/>
  <c r="I345" i="28" s="1"/>
  <c r="I328" i="28"/>
  <c r="I329" i="28"/>
  <c r="J329" i="28"/>
  <c r="Q329" i="28"/>
  <c r="I330" i="28"/>
  <c r="I331" i="28"/>
  <c r="Q331" i="28"/>
  <c r="P38" i="21"/>
  <c r="P43" i="21" s="1"/>
  <c r="P42" i="21"/>
  <c r="P15" i="22"/>
  <c r="P21" i="22"/>
  <c r="P28" i="22"/>
  <c r="P33" i="22" s="1"/>
  <c r="P32" i="22"/>
  <c r="P38" i="22"/>
  <c r="P42" i="22"/>
  <c r="P57" i="22"/>
  <c r="P51" i="22"/>
  <c r="P15" i="23"/>
  <c r="P21" i="23"/>
  <c r="P28" i="23"/>
  <c r="P32" i="23"/>
  <c r="P38" i="23"/>
  <c r="P42" i="23"/>
  <c r="P43" i="23" s="1"/>
  <c r="P57" i="23"/>
  <c r="P58" i="23" s="1"/>
  <c r="P51" i="23"/>
  <c r="P15" i="24"/>
  <c r="P21" i="24"/>
  <c r="P28" i="24"/>
  <c r="P33" i="24" s="1"/>
  <c r="P32" i="24"/>
  <c r="P38" i="24"/>
  <c r="P43" i="24" s="1"/>
  <c r="P42" i="24"/>
  <c r="P57" i="24"/>
  <c r="P51" i="24"/>
  <c r="P15" i="25"/>
  <c r="P22" i="25" s="1"/>
  <c r="P21" i="25"/>
  <c r="P28" i="25"/>
  <c r="P32" i="25"/>
  <c r="P33" i="25" s="1"/>
  <c r="P38" i="25"/>
  <c r="P42" i="25"/>
  <c r="P57" i="25"/>
  <c r="P51" i="25"/>
  <c r="P15" i="26"/>
  <c r="P21" i="26"/>
  <c r="P22" i="26" s="1"/>
  <c r="P28" i="26"/>
  <c r="P32" i="26"/>
  <c r="P38" i="26"/>
  <c r="P42" i="26"/>
  <c r="P57" i="26"/>
  <c r="P58" i="26" s="1"/>
  <c r="P51" i="26"/>
  <c r="P15" i="27"/>
  <c r="P21" i="27"/>
  <c r="P22" i="27" s="1"/>
  <c r="P28" i="27"/>
  <c r="P32" i="27"/>
  <c r="P38" i="27"/>
  <c r="P42" i="27"/>
  <c r="P57" i="27"/>
  <c r="P58" i="27" s="1"/>
  <c r="P51" i="27"/>
  <c r="N40" i="6"/>
  <c r="N53" i="6"/>
  <c r="N45" i="6"/>
  <c r="N52" i="6"/>
  <c r="P41" i="28"/>
  <c r="P43" i="28"/>
  <c r="P45" i="28" s="1"/>
  <c r="O61" i="1" s="1"/>
  <c r="O38" i="1"/>
  <c r="O43" i="1" s="1"/>
  <c r="O42" i="1"/>
  <c r="P77" i="28"/>
  <c r="P79" i="28"/>
  <c r="O38" i="7"/>
  <c r="O42" i="7"/>
  <c r="P113" i="28"/>
  <c r="P115" i="28"/>
  <c r="P117" i="28" s="1"/>
  <c r="O38" i="15"/>
  <c r="O43" i="15" s="1"/>
  <c r="O42" i="15"/>
  <c r="P149" i="28"/>
  <c r="P151" i="28"/>
  <c r="P153" i="28" s="1"/>
  <c r="O61" i="16" s="1"/>
  <c r="O38" i="16"/>
  <c r="O42" i="16"/>
  <c r="P185" i="28"/>
  <c r="P187" i="28"/>
  <c r="P189" i="28" s="1"/>
  <c r="O61" i="17" s="1"/>
  <c r="O38" i="17"/>
  <c r="O42" i="17"/>
  <c r="P221" i="28"/>
  <c r="P223" i="28"/>
  <c r="P257" i="28"/>
  <c r="P259" i="28"/>
  <c r="P261" i="28" s="1"/>
  <c r="O61" i="19" s="1"/>
  <c r="O38" i="19"/>
  <c r="O43" i="19" s="1"/>
  <c r="O42" i="19"/>
  <c r="P293" i="28"/>
  <c r="P295" i="28"/>
  <c r="P297" i="28" s="1"/>
  <c r="O61" i="20" s="1"/>
  <c r="O38" i="20"/>
  <c r="O43" i="20" s="1"/>
  <c r="O42" i="20"/>
  <c r="P329" i="28"/>
  <c r="P331" i="28"/>
  <c r="O38" i="21"/>
  <c r="O43" i="21" s="1"/>
  <c r="O42" i="21"/>
  <c r="O15" i="22"/>
  <c r="O21" i="22"/>
  <c r="O22" i="22" s="1"/>
  <c r="O28" i="22"/>
  <c r="O32" i="22"/>
  <c r="O38" i="22"/>
  <c r="O42" i="22"/>
  <c r="O57" i="22"/>
  <c r="O58" i="22" s="1"/>
  <c r="O51" i="22"/>
  <c r="O15" i="23"/>
  <c r="O21" i="23"/>
  <c r="O22" i="23" s="1"/>
  <c r="O28" i="23"/>
  <c r="O32" i="23"/>
  <c r="O33" i="23"/>
  <c r="O38" i="23"/>
  <c r="O42" i="23"/>
  <c r="O57" i="23"/>
  <c r="O51" i="23"/>
  <c r="O15" i="24"/>
  <c r="O22" i="24" s="1"/>
  <c r="O21" i="24"/>
  <c r="O28" i="24"/>
  <c r="O32" i="24"/>
  <c r="O38" i="24"/>
  <c r="O42" i="24"/>
  <c r="O57" i="24"/>
  <c r="O51" i="24"/>
  <c r="O15" i="25"/>
  <c r="O22" i="25" s="1"/>
  <c r="O21" i="25"/>
  <c r="O28" i="25"/>
  <c r="O32" i="25"/>
  <c r="O38" i="25"/>
  <c r="O42" i="25"/>
  <c r="O57" i="25"/>
  <c r="O51" i="25"/>
  <c r="O58" i="25" s="1"/>
  <c r="O15" i="26"/>
  <c r="O21" i="26"/>
  <c r="O28" i="26"/>
  <c r="O32" i="26"/>
  <c r="O38" i="26"/>
  <c r="O43" i="26" s="1"/>
  <c r="O42" i="26"/>
  <c r="O57" i="26"/>
  <c r="O51" i="26"/>
  <c r="O15" i="27"/>
  <c r="O21" i="27"/>
  <c r="O28" i="27"/>
  <c r="O32" i="27"/>
  <c r="O38" i="27"/>
  <c r="O43" i="27" s="1"/>
  <c r="O42" i="27"/>
  <c r="O57" i="27"/>
  <c r="O58" i="27"/>
  <c r="O51" i="27"/>
  <c r="M40" i="6"/>
  <c r="M45" i="6"/>
  <c r="M52" i="6"/>
  <c r="O41" i="28"/>
  <c r="O43" i="28"/>
  <c r="N38" i="1"/>
  <c r="N43" i="1"/>
  <c r="N42" i="1"/>
  <c r="O77" i="28"/>
  <c r="O79" i="28"/>
  <c r="N38" i="7"/>
  <c r="N43" i="7" s="1"/>
  <c r="N42" i="7"/>
  <c r="O113" i="28"/>
  <c r="O115" i="28"/>
  <c r="O117" i="28" s="1"/>
  <c r="N38" i="15"/>
  <c r="N43" i="15" s="1"/>
  <c r="N42" i="15"/>
  <c r="O149" i="28"/>
  <c r="O151" i="28"/>
  <c r="N38" i="16"/>
  <c r="N42" i="16"/>
  <c r="O185" i="28"/>
  <c r="O187" i="28"/>
  <c r="N38" i="17"/>
  <c r="N43" i="17" s="1"/>
  <c r="N42" i="17"/>
  <c r="O221" i="28"/>
  <c r="O225" i="28" s="1"/>
  <c r="N61" i="18" s="1"/>
  <c r="O223" i="28"/>
  <c r="O257" i="28"/>
  <c r="O259" i="28"/>
  <c r="N38" i="19"/>
  <c r="N43" i="19" s="1"/>
  <c r="N42" i="19"/>
  <c r="O293" i="28"/>
  <c r="O295" i="28"/>
  <c r="N38" i="20"/>
  <c r="N42" i="20"/>
  <c r="O329" i="28"/>
  <c r="O331" i="28"/>
  <c r="N38" i="21"/>
  <c r="N43" i="21" s="1"/>
  <c r="N42" i="21"/>
  <c r="N15" i="22"/>
  <c r="N21" i="22"/>
  <c r="N28" i="22"/>
  <c r="N33" i="22" s="1"/>
  <c r="N32" i="22"/>
  <c r="N38" i="22"/>
  <c r="N42" i="22"/>
  <c r="N43" i="22" s="1"/>
  <c r="N57" i="22"/>
  <c r="N58" i="22" s="1"/>
  <c r="N51" i="22"/>
  <c r="N15" i="23"/>
  <c r="N21" i="23"/>
  <c r="N28" i="23"/>
  <c r="N33" i="23" s="1"/>
  <c r="N32" i="23"/>
  <c r="N38" i="23"/>
  <c r="N43" i="23"/>
  <c r="N44" i="23" s="1"/>
  <c r="N42" i="23"/>
  <c r="N57" i="23"/>
  <c r="N51" i="23"/>
  <c r="N58" i="23" s="1"/>
  <c r="N15" i="24"/>
  <c r="N21" i="24"/>
  <c r="N28" i="24"/>
  <c r="N32" i="24"/>
  <c r="N38" i="24"/>
  <c r="N42" i="24"/>
  <c r="N57" i="24"/>
  <c r="N51" i="24"/>
  <c r="N58" i="24" s="1"/>
  <c r="N15" i="25"/>
  <c r="N21" i="25"/>
  <c r="N28" i="25"/>
  <c r="N32" i="25"/>
  <c r="N38" i="25"/>
  <c r="N43" i="25" s="1"/>
  <c r="N42" i="25"/>
  <c r="N57" i="25"/>
  <c r="N51" i="25"/>
  <c r="N15" i="26"/>
  <c r="N21" i="26"/>
  <c r="N28" i="26"/>
  <c r="N32" i="26"/>
  <c r="N33" i="26"/>
  <c r="N38" i="26"/>
  <c r="N42" i="26"/>
  <c r="N57" i="26"/>
  <c r="N58" i="26"/>
  <c r="N51" i="26"/>
  <c r="N15" i="27"/>
  <c r="N21" i="27"/>
  <c r="N22" i="27"/>
  <c r="N28" i="27"/>
  <c r="N32" i="27"/>
  <c r="N38" i="27"/>
  <c r="N42" i="27"/>
  <c r="N43" i="27" s="1"/>
  <c r="N57" i="27"/>
  <c r="N51" i="27"/>
  <c r="N58" i="27"/>
  <c r="G40" i="6"/>
  <c r="G45" i="6"/>
  <c r="F47" i="6"/>
  <c r="R47" i="6"/>
  <c r="F48" i="6"/>
  <c r="F52" i="6" s="1"/>
  <c r="G49" i="6"/>
  <c r="P49" i="6" s="1"/>
  <c r="M41" i="28"/>
  <c r="N41" i="28"/>
  <c r="M43" i="28"/>
  <c r="N43" i="28"/>
  <c r="H38" i="1"/>
  <c r="H42" i="1"/>
  <c r="H43" i="1" s="1"/>
  <c r="M77" i="28"/>
  <c r="N77" i="28"/>
  <c r="M79" i="28"/>
  <c r="N79" i="28"/>
  <c r="H38" i="7"/>
  <c r="H42" i="7"/>
  <c r="M113" i="28"/>
  <c r="N113" i="28"/>
  <c r="N117" i="28" s="1"/>
  <c r="K61" i="15" s="1"/>
  <c r="M115" i="28"/>
  <c r="N115" i="28"/>
  <c r="H38" i="15"/>
  <c r="H42" i="15"/>
  <c r="M149" i="28"/>
  <c r="N149" i="28"/>
  <c r="M151" i="28"/>
  <c r="N151" i="28"/>
  <c r="H38" i="16"/>
  <c r="H43" i="16"/>
  <c r="H42" i="16"/>
  <c r="M185" i="28"/>
  <c r="M189" i="28" s="1"/>
  <c r="I61" i="17" s="1"/>
  <c r="N185" i="28"/>
  <c r="M187" i="28"/>
  <c r="N187" i="28"/>
  <c r="H38" i="17"/>
  <c r="H43" i="17" s="1"/>
  <c r="H42" i="17"/>
  <c r="M221" i="28"/>
  <c r="N221" i="28"/>
  <c r="N225" i="28" s="1"/>
  <c r="M223" i="28"/>
  <c r="N223" i="28"/>
  <c r="H38" i="18"/>
  <c r="H42" i="18"/>
  <c r="M257" i="28"/>
  <c r="N257" i="28"/>
  <c r="N261" i="28" s="1"/>
  <c r="K61" i="19" s="1"/>
  <c r="M259" i="28"/>
  <c r="N259" i="28"/>
  <c r="H38" i="19"/>
  <c r="H42" i="19"/>
  <c r="H43" i="19" s="1"/>
  <c r="M293" i="28"/>
  <c r="N293" i="28"/>
  <c r="M295" i="28"/>
  <c r="M297" i="28" s="1"/>
  <c r="I61" i="20" s="1"/>
  <c r="N295" i="28"/>
  <c r="N297" i="28" s="1"/>
  <c r="K61" i="20" s="1"/>
  <c r="H38" i="20"/>
  <c r="H42" i="20"/>
  <c r="M329" i="28"/>
  <c r="N329" i="28"/>
  <c r="M331" i="28"/>
  <c r="N331" i="28"/>
  <c r="G27" i="21"/>
  <c r="H38" i="21"/>
  <c r="H42" i="21"/>
  <c r="H38" i="22"/>
  <c r="H42" i="22"/>
  <c r="H15" i="23"/>
  <c r="H21" i="23"/>
  <c r="H28" i="23"/>
  <c r="H32" i="23"/>
  <c r="H38" i="23"/>
  <c r="H42" i="23"/>
  <c r="H57" i="23"/>
  <c r="H51" i="23"/>
  <c r="H15" i="24"/>
  <c r="H21" i="24"/>
  <c r="H22" i="24" s="1"/>
  <c r="H28" i="24"/>
  <c r="H32" i="24"/>
  <c r="H38" i="24"/>
  <c r="H42" i="24"/>
  <c r="H57" i="24"/>
  <c r="H58" i="24" s="1"/>
  <c r="H51" i="24"/>
  <c r="H15" i="25"/>
  <c r="H21" i="25"/>
  <c r="H28" i="25"/>
  <c r="H33" i="25" s="1"/>
  <c r="H32" i="25"/>
  <c r="H38" i="25"/>
  <c r="H42" i="25"/>
  <c r="H57" i="25"/>
  <c r="H51" i="25"/>
  <c r="H58" i="25" s="1"/>
  <c r="H15" i="26"/>
  <c r="H22" i="26" s="1"/>
  <c r="H21" i="26"/>
  <c r="H28" i="26"/>
  <c r="H32" i="26"/>
  <c r="H38" i="26"/>
  <c r="H42" i="26"/>
  <c r="H43" i="26" s="1"/>
  <c r="H57" i="26"/>
  <c r="H58" i="26"/>
  <c r="H51" i="26"/>
  <c r="H15" i="27"/>
  <c r="H22" i="27" s="1"/>
  <c r="H21" i="27"/>
  <c r="H28" i="27"/>
  <c r="H33" i="27" s="1"/>
  <c r="H32" i="27"/>
  <c r="H38" i="27"/>
  <c r="H42" i="27"/>
  <c r="H57" i="27"/>
  <c r="H51" i="27"/>
  <c r="H40" i="6"/>
  <c r="H45" i="6"/>
  <c r="I38" i="1"/>
  <c r="I43" i="1" s="1"/>
  <c r="I42" i="1"/>
  <c r="I38" i="7"/>
  <c r="I42" i="7"/>
  <c r="I38" i="15"/>
  <c r="I43" i="15" s="1"/>
  <c r="I42" i="15"/>
  <c r="I38" i="16"/>
  <c r="I43" i="16" s="1"/>
  <c r="I42" i="16"/>
  <c r="I38" i="17"/>
  <c r="I42" i="17"/>
  <c r="I38" i="18"/>
  <c r="I42" i="18"/>
  <c r="I38" i="19"/>
  <c r="I43" i="19"/>
  <c r="I42" i="19"/>
  <c r="I38" i="20"/>
  <c r="I42" i="20"/>
  <c r="I38" i="21"/>
  <c r="I43" i="21" s="1"/>
  <c r="I42" i="21"/>
  <c r="I38" i="22"/>
  <c r="I42" i="22"/>
  <c r="I15" i="23"/>
  <c r="I21" i="23"/>
  <c r="I28" i="23"/>
  <c r="I33" i="23" s="1"/>
  <c r="I32" i="23"/>
  <c r="I38" i="23"/>
  <c r="I42" i="23"/>
  <c r="I57" i="23"/>
  <c r="I51" i="23"/>
  <c r="I58" i="23"/>
  <c r="I15" i="24"/>
  <c r="I21" i="24"/>
  <c r="I28" i="24"/>
  <c r="I32" i="24"/>
  <c r="I38" i="24"/>
  <c r="I42" i="24"/>
  <c r="I57" i="24"/>
  <c r="I58" i="24"/>
  <c r="I51" i="24"/>
  <c r="I15" i="25"/>
  <c r="I21" i="25"/>
  <c r="I28" i="25"/>
  <c r="I33" i="25" s="1"/>
  <c r="I32" i="25"/>
  <c r="I38" i="25"/>
  <c r="I42" i="25"/>
  <c r="I57" i="25"/>
  <c r="I51" i="25"/>
  <c r="I15" i="26"/>
  <c r="I21" i="26"/>
  <c r="I28" i="26"/>
  <c r="I33" i="26"/>
  <c r="I32" i="26"/>
  <c r="I38" i="26"/>
  <c r="I42" i="26"/>
  <c r="I57" i="26"/>
  <c r="I51" i="26"/>
  <c r="I15" i="27"/>
  <c r="I22" i="27" s="1"/>
  <c r="I21" i="27"/>
  <c r="I28" i="27"/>
  <c r="I33" i="27" s="1"/>
  <c r="I44" i="27" s="1"/>
  <c r="I32" i="27"/>
  <c r="I38" i="27"/>
  <c r="I42" i="27"/>
  <c r="I43" i="27" s="1"/>
  <c r="I57" i="27"/>
  <c r="I51" i="27"/>
  <c r="J40" i="6"/>
  <c r="J45" i="6"/>
  <c r="K38" i="1"/>
  <c r="K42" i="1"/>
  <c r="K38" i="7"/>
  <c r="K42" i="7"/>
  <c r="K38" i="15"/>
  <c r="K42" i="15"/>
  <c r="K38" i="16"/>
  <c r="K42" i="16"/>
  <c r="K38" i="17"/>
  <c r="K43" i="17"/>
  <c r="K42" i="17"/>
  <c r="K38" i="18"/>
  <c r="K42" i="18"/>
  <c r="K38" i="19"/>
  <c r="K43" i="19" s="1"/>
  <c r="K42" i="19"/>
  <c r="K38" i="20"/>
  <c r="K42" i="20"/>
  <c r="K38" i="21"/>
  <c r="K42" i="21"/>
  <c r="K43" i="21"/>
  <c r="K38" i="22"/>
  <c r="K42" i="22"/>
  <c r="K15" i="23"/>
  <c r="K22" i="23"/>
  <c r="K21" i="23"/>
  <c r="K28" i="23"/>
  <c r="K32" i="23"/>
  <c r="K38" i="23"/>
  <c r="K43" i="23" s="1"/>
  <c r="K42" i="23"/>
  <c r="K57" i="23"/>
  <c r="K51" i="23"/>
  <c r="K15" i="24"/>
  <c r="K22" i="24"/>
  <c r="K21" i="24"/>
  <c r="K28" i="24"/>
  <c r="K32" i="24"/>
  <c r="K38" i="24"/>
  <c r="K42" i="24"/>
  <c r="K57" i="24"/>
  <c r="K51" i="24"/>
  <c r="K15" i="25"/>
  <c r="K21" i="25"/>
  <c r="K28" i="25"/>
  <c r="K33" i="25" s="1"/>
  <c r="K32" i="25"/>
  <c r="K38" i="25"/>
  <c r="K43" i="25" s="1"/>
  <c r="K42" i="25"/>
  <c r="K57" i="25"/>
  <c r="K51" i="25"/>
  <c r="K58" i="25" s="1"/>
  <c r="K15" i="26"/>
  <c r="K21" i="26"/>
  <c r="K22" i="26" s="1"/>
  <c r="K28" i="26"/>
  <c r="K32" i="26"/>
  <c r="K38" i="26"/>
  <c r="K43" i="26"/>
  <c r="K42" i="26"/>
  <c r="K57" i="26"/>
  <c r="K51" i="26"/>
  <c r="K15" i="27"/>
  <c r="K22" i="27" s="1"/>
  <c r="K21" i="27"/>
  <c r="K28" i="27"/>
  <c r="K32" i="27"/>
  <c r="K38" i="27"/>
  <c r="K43" i="27"/>
  <c r="K42" i="27"/>
  <c r="K57" i="27"/>
  <c r="K51" i="27"/>
  <c r="F40" i="6"/>
  <c r="R40" i="6" s="1"/>
  <c r="F45" i="6"/>
  <c r="R45" i="6" s="1"/>
  <c r="G38" i="1"/>
  <c r="G42" i="1"/>
  <c r="G38" i="7"/>
  <c r="G43" i="7" s="1"/>
  <c r="G42" i="7"/>
  <c r="G38" i="15"/>
  <c r="G43" i="15" s="1"/>
  <c r="G42" i="15"/>
  <c r="G38" i="16"/>
  <c r="G42" i="16"/>
  <c r="G38" i="17"/>
  <c r="G42" i="17"/>
  <c r="G38" i="18"/>
  <c r="G43" i="18" s="1"/>
  <c r="G42" i="18"/>
  <c r="G38" i="19"/>
  <c r="G42" i="19"/>
  <c r="G43" i="19" s="1"/>
  <c r="G38" i="20"/>
  <c r="G42" i="20"/>
  <c r="G38" i="21"/>
  <c r="G42" i="21"/>
  <c r="G38" i="22"/>
  <c r="G42" i="22"/>
  <c r="G43" i="22" s="1"/>
  <c r="G15" i="23"/>
  <c r="G21" i="23"/>
  <c r="G28" i="23"/>
  <c r="G32" i="23"/>
  <c r="G38" i="23"/>
  <c r="G42" i="23"/>
  <c r="G57" i="23"/>
  <c r="G51" i="23"/>
  <c r="G15" i="24"/>
  <c r="G21" i="24"/>
  <c r="G28" i="24"/>
  <c r="G32" i="24"/>
  <c r="G38" i="24"/>
  <c r="G42" i="24"/>
  <c r="G57" i="24"/>
  <c r="G51" i="24"/>
  <c r="G15" i="25"/>
  <c r="G21" i="25"/>
  <c r="G28" i="25"/>
  <c r="G32" i="25"/>
  <c r="G38" i="25"/>
  <c r="G42" i="25"/>
  <c r="G57" i="25"/>
  <c r="G51" i="25"/>
  <c r="G15" i="26"/>
  <c r="G22" i="26"/>
  <c r="G21" i="26"/>
  <c r="G28" i="26"/>
  <c r="G32" i="26"/>
  <c r="G38" i="26"/>
  <c r="G43" i="26" s="1"/>
  <c r="G42" i="26"/>
  <c r="G57" i="26"/>
  <c r="G51" i="26"/>
  <c r="G15" i="27"/>
  <c r="G22" i="27" s="1"/>
  <c r="G21" i="27"/>
  <c r="G28" i="27"/>
  <c r="G33" i="27"/>
  <c r="G32" i="27"/>
  <c r="G38" i="27"/>
  <c r="G42" i="27"/>
  <c r="G43" i="27"/>
  <c r="G44" i="27" s="1"/>
  <c r="G59" i="27" s="1"/>
  <c r="F23" i="6" s="1"/>
  <c r="G57" i="27"/>
  <c r="G51" i="27"/>
  <c r="G58" i="27" s="1"/>
  <c r="I11" i="29"/>
  <c r="O2" i="13"/>
  <c r="D2" i="13"/>
  <c r="B59" i="1"/>
  <c r="P2" i="1"/>
  <c r="B8" i="1"/>
  <c r="E3" i="1"/>
  <c r="B9" i="6" s="1"/>
  <c r="L41" i="28"/>
  <c r="L43" i="28"/>
  <c r="L45" i="28" s="1"/>
  <c r="M45" i="28"/>
  <c r="I61" i="1" s="1"/>
  <c r="O45" i="28"/>
  <c r="N61" i="1"/>
  <c r="Q45" i="28"/>
  <c r="P61" i="1"/>
  <c r="B1" i="22"/>
  <c r="H69" i="22"/>
  <c r="J69" i="22"/>
  <c r="K69" i="22"/>
  <c r="L69" i="22"/>
  <c r="E3" i="22"/>
  <c r="B18" i="6" s="1"/>
  <c r="E2" i="22"/>
  <c r="I76" i="22"/>
  <c r="I74" i="22"/>
  <c r="M65" i="22"/>
  <c r="M67" i="22"/>
  <c r="M69" i="22" s="1"/>
  <c r="I69" i="22"/>
  <c r="B8" i="22"/>
  <c r="B1" i="23"/>
  <c r="E2" i="23"/>
  <c r="B1" i="24"/>
  <c r="E2" i="24"/>
  <c r="B1" i="25"/>
  <c r="E2" i="25"/>
  <c r="B1" i="26"/>
  <c r="E2" i="26"/>
  <c r="B1" i="27"/>
  <c r="E2" i="27"/>
  <c r="B59" i="7"/>
  <c r="B1" i="7"/>
  <c r="P2" i="7"/>
  <c r="E3" i="7"/>
  <c r="B10" i="6" s="1"/>
  <c r="B8" i="7"/>
  <c r="E2" i="7"/>
  <c r="L77" i="28"/>
  <c r="L79" i="28"/>
  <c r="M81" i="28"/>
  <c r="I61" i="7"/>
  <c r="O81" i="28"/>
  <c r="N61" i="7" s="1"/>
  <c r="B59" i="15"/>
  <c r="B1" i="15"/>
  <c r="P2" i="15"/>
  <c r="E3" i="15"/>
  <c r="B11" i="6" s="1"/>
  <c r="E2" i="15"/>
  <c r="B8" i="15"/>
  <c r="L113" i="28"/>
  <c r="L115" i="28"/>
  <c r="M117" i="28"/>
  <c r="I61" i="15" s="1"/>
  <c r="N61" i="15"/>
  <c r="O61" i="15"/>
  <c r="Q117" i="28"/>
  <c r="B59" i="16"/>
  <c r="B1" i="16"/>
  <c r="P2" i="16"/>
  <c r="E3" i="16"/>
  <c r="B12" i="6"/>
  <c r="E2" i="16"/>
  <c r="B8" i="16"/>
  <c r="L149" i="28"/>
  <c r="L151" i="28"/>
  <c r="M153" i="28"/>
  <c r="I61" i="16" s="1"/>
  <c r="O153" i="28"/>
  <c r="N61" i="16" s="1"/>
  <c r="Q153" i="28"/>
  <c r="B59" i="17"/>
  <c r="B1" i="17"/>
  <c r="P2" i="17"/>
  <c r="E3" i="17"/>
  <c r="B13" i="6" s="1"/>
  <c r="E2" i="17"/>
  <c r="B8" i="17"/>
  <c r="L185" i="28"/>
  <c r="L187" i="28"/>
  <c r="N189" i="28"/>
  <c r="K61" i="17"/>
  <c r="O189" i="28"/>
  <c r="N61" i="17"/>
  <c r="P61" i="17"/>
  <c r="B59" i="18"/>
  <c r="B1" i="18"/>
  <c r="P2" i="18"/>
  <c r="E3" i="18"/>
  <c r="E2" i="18"/>
  <c r="B8" i="18"/>
  <c r="Q225" i="28"/>
  <c r="P61" i="18" s="1"/>
  <c r="P225" i="28"/>
  <c r="O61" i="18" s="1"/>
  <c r="M225" i="28"/>
  <c r="I61" i="18" s="1"/>
  <c r="K61" i="18"/>
  <c r="L221" i="28"/>
  <c r="L223" i="28"/>
  <c r="B59" i="19"/>
  <c r="B1" i="19"/>
  <c r="P2" i="19"/>
  <c r="E3" i="19"/>
  <c r="B15" i="6" s="1"/>
  <c r="E2" i="19"/>
  <c r="B8" i="19"/>
  <c r="L257" i="28"/>
  <c r="L259" i="28"/>
  <c r="O261" i="28"/>
  <c r="N61" i="19" s="1"/>
  <c r="Q261" i="28"/>
  <c r="P61" i="19"/>
  <c r="B59" i="20"/>
  <c r="B1" i="20"/>
  <c r="P2" i="20"/>
  <c r="E3" i="20"/>
  <c r="B16" i="6" s="1"/>
  <c r="E2" i="20"/>
  <c r="B8" i="20"/>
  <c r="L293" i="28"/>
  <c r="L295" i="28"/>
  <c r="O297" i="28"/>
  <c r="N61" i="20"/>
  <c r="Q297" i="28"/>
  <c r="P61" i="20"/>
  <c r="B59" i="21"/>
  <c r="B1" i="21"/>
  <c r="P2" i="21"/>
  <c r="E3" i="21"/>
  <c r="E2" i="21"/>
  <c r="B8" i="21"/>
  <c r="L329" i="28"/>
  <c r="L331" i="28"/>
  <c r="N333" i="28"/>
  <c r="K61" i="21" s="1"/>
  <c r="O333" i="28"/>
  <c r="N61" i="21" s="1"/>
  <c r="P333" i="28"/>
  <c r="O61" i="21" s="1"/>
  <c r="Q333" i="28"/>
  <c r="P61" i="21"/>
  <c r="O2" i="6"/>
  <c r="D2" i="6"/>
  <c r="B23" i="6"/>
  <c r="B22" i="6"/>
  <c r="B21" i="6"/>
  <c r="B20" i="6"/>
  <c r="B19" i="6"/>
  <c r="B17" i="6"/>
  <c r="B14" i="6"/>
  <c r="L27" i="28"/>
  <c r="O2" i="5"/>
  <c r="O11" i="5"/>
  <c r="O12" i="5"/>
  <c r="O17" i="5"/>
  <c r="O18" i="5"/>
  <c r="O53" i="5"/>
  <c r="O54" i="5"/>
  <c r="O47" i="5"/>
  <c r="O48" i="5"/>
  <c r="N11" i="5"/>
  <c r="N12" i="5"/>
  <c r="N17" i="5"/>
  <c r="N18" i="5"/>
  <c r="N53" i="5"/>
  <c r="N54" i="5"/>
  <c r="N47" i="5"/>
  <c r="N48" i="5"/>
  <c r="M11" i="5"/>
  <c r="M12" i="5"/>
  <c r="M17" i="5"/>
  <c r="M18" i="5"/>
  <c r="M53" i="5"/>
  <c r="M54" i="5"/>
  <c r="M47" i="5"/>
  <c r="M48" i="5"/>
  <c r="L11" i="5"/>
  <c r="L12" i="5"/>
  <c r="L17" i="5"/>
  <c r="L18" i="5"/>
  <c r="L36" i="5"/>
  <c r="L37" i="5"/>
  <c r="L40" i="5"/>
  <c r="L41" i="5"/>
  <c r="L53" i="5"/>
  <c r="L54" i="5"/>
  <c r="L47" i="5"/>
  <c r="L48" i="5"/>
  <c r="K11" i="5"/>
  <c r="K12" i="5"/>
  <c r="K13" i="5"/>
  <c r="K14" i="5"/>
  <c r="K17" i="5"/>
  <c r="K18" i="5"/>
  <c r="K19" i="5"/>
  <c r="K20" i="5"/>
  <c r="K26" i="5"/>
  <c r="K28" i="5" s="1"/>
  <c r="K27" i="5"/>
  <c r="K30" i="5"/>
  <c r="K32" i="5" s="1"/>
  <c r="K31" i="5"/>
  <c r="K36" i="5"/>
  <c r="K37" i="5"/>
  <c r="K40" i="5"/>
  <c r="K42" i="5" s="1"/>
  <c r="K41" i="5"/>
  <c r="K53" i="5"/>
  <c r="K54" i="5"/>
  <c r="K55" i="5"/>
  <c r="K56" i="5"/>
  <c r="K47" i="5"/>
  <c r="K48" i="5"/>
  <c r="K49" i="5"/>
  <c r="K50" i="5"/>
  <c r="J11" i="5"/>
  <c r="J12" i="5"/>
  <c r="J17" i="5"/>
  <c r="J18" i="5"/>
  <c r="J36" i="5"/>
  <c r="J38" i="5"/>
  <c r="J37" i="5"/>
  <c r="J40" i="5"/>
  <c r="J41" i="5"/>
  <c r="J53" i="5"/>
  <c r="J54" i="5"/>
  <c r="J47" i="5"/>
  <c r="J48" i="5"/>
  <c r="I11" i="5"/>
  <c r="I12" i="5"/>
  <c r="I13" i="5"/>
  <c r="I14" i="5"/>
  <c r="I17" i="5"/>
  <c r="I21" i="5" s="1"/>
  <c r="I18" i="5"/>
  <c r="I19" i="5"/>
  <c r="I20" i="5"/>
  <c r="I26" i="5"/>
  <c r="I27" i="5"/>
  <c r="I30" i="5"/>
  <c r="I32" i="5" s="1"/>
  <c r="I31" i="5"/>
  <c r="I36" i="5"/>
  <c r="I37" i="5"/>
  <c r="I40" i="5"/>
  <c r="I42" i="5" s="1"/>
  <c r="I41" i="5"/>
  <c r="I53" i="5"/>
  <c r="I54" i="5"/>
  <c r="I55" i="5"/>
  <c r="I56" i="5"/>
  <c r="I48" i="5"/>
  <c r="I49" i="5"/>
  <c r="I50" i="5"/>
  <c r="H11" i="5"/>
  <c r="H12" i="5"/>
  <c r="H17" i="5"/>
  <c r="H18" i="5"/>
  <c r="H36" i="5"/>
  <c r="H37" i="5"/>
  <c r="H40" i="5"/>
  <c r="H42" i="5" s="1"/>
  <c r="H41" i="5"/>
  <c r="H53" i="5"/>
  <c r="H54" i="5"/>
  <c r="H47" i="5"/>
  <c r="H48" i="5"/>
  <c r="G11" i="5"/>
  <c r="G12" i="5"/>
  <c r="G17" i="5"/>
  <c r="G18" i="5"/>
  <c r="G36" i="5"/>
  <c r="G37" i="5"/>
  <c r="G40" i="5"/>
  <c r="G42" i="5" s="1"/>
  <c r="G41" i="5"/>
  <c r="G53" i="5"/>
  <c r="G54" i="5"/>
  <c r="G47" i="5"/>
  <c r="G48" i="5"/>
  <c r="F17" i="5"/>
  <c r="R17" i="5" s="1"/>
  <c r="F18" i="5"/>
  <c r="F54" i="5"/>
  <c r="R54" i="5" s="1"/>
  <c r="F53" i="5"/>
  <c r="R53" i="5" s="1"/>
  <c r="F48" i="5"/>
  <c r="R48" i="5" s="1"/>
  <c r="F47" i="5"/>
  <c r="R47" i="5" s="1"/>
  <c r="F36" i="5"/>
  <c r="R36" i="5" s="1"/>
  <c r="F37" i="5"/>
  <c r="R37" i="5"/>
  <c r="F41" i="5"/>
  <c r="R41" i="5" s="1"/>
  <c r="F40" i="5"/>
  <c r="R40" i="5" s="1"/>
  <c r="F11" i="5"/>
  <c r="F12" i="5"/>
  <c r="R12" i="5" s="1"/>
  <c r="D2" i="5"/>
  <c r="I47" i="5"/>
  <c r="I51" i="5" s="1"/>
  <c r="O2" i="30"/>
  <c r="D2" i="30"/>
  <c r="K19" i="10"/>
  <c r="G11" i="10"/>
  <c r="K2" i="10"/>
  <c r="D2" i="10"/>
  <c r="K15" i="10"/>
  <c r="J13" i="10"/>
  <c r="I13" i="10"/>
  <c r="I17" i="10" s="1"/>
  <c r="F13" i="10"/>
  <c r="H13" i="10"/>
  <c r="K16" i="10"/>
  <c r="K9" i="10"/>
  <c r="K12" i="10"/>
  <c r="O2" i="8"/>
  <c r="D2" i="8"/>
  <c r="J3" i="28"/>
  <c r="I3" i="28"/>
  <c r="Q3" i="28"/>
  <c r="P3" i="28"/>
  <c r="O3" i="28"/>
  <c r="N3" i="28"/>
  <c r="M3" i="28"/>
  <c r="L3" i="28"/>
  <c r="K3" i="28"/>
  <c r="Q27" i="28"/>
  <c r="P27" i="28"/>
  <c r="O27" i="28"/>
  <c r="B36" i="28"/>
  <c r="B37" i="28"/>
  <c r="N27" i="28"/>
  <c r="M27" i="28"/>
  <c r="B73" i="28"/>
  <c r="B109" i="28"/>
  <c r="B145" i="28" s="1"/>
  <c r="B181" i="28" s="1"/>
  <c r="B217" i="28" s="1"/>
  <c r="B253" i="28" s="1"/>
  <c r="B289" i="28" s="1"/>
  <c r="B325" i="28" s="1"/>
  <c r="B324" i="28"/>
  <c r="B288" i="28"/>
  <c r="B252" i="28"/>
  <c r="B216" i="28"/>
  <c r="B180" i="28"/>
  <c r="B144" i="28"/>
  <c r="B108" i="28"/>
  <c r="B72" i="28"/>
  <c r="H329" i="28"/>
  <c r="H333" i="28" s="1"/>
  <c r="H335" i="28" s="1"/>
  <c r="H356" i="28" s="1"/>
  <c r="I333" i="28"/>
  <c r="J338" i="28"/>
  <c r="J340" i="28"/>
  <c r="I297" i="28"/>
  <c r="J302" i="28"/>
  <c r="J304" i="28"/>
  <c r="I261" i="28"/>
  <c r="J266" i="28"/>
  <c r="J268" i="28"/>
  <c r="H284" i="28"/>
  <c r="I225" i="28"/>
  <c r="J230" i="28"/>
  <c r="J232" i="28"/>
  <c r="I189" i="28"/>
  <c r="J194" i="28"/>
  <c r="J196" i="28"/>
  <c r="H212" i="28"/>
  <c r="I153" i="28"/>
  <c r="J158" i="28"/>
  <c r="J160" i="28"/>
  <c r="I117" i="28"/>
  <c r="J122" i="28"/>
  <c r="J124" i="28"/>
  <c r="I81" i="28"/>
  <c r="J88" i="28"/>
  <c r="J86" i="28"/>
  <c r="H68" i="28"/>
  <c r="J52" i="28"/>
  <c r="J50" i="28"/>
  <c r="G85" i="22"/>
  <c r="G91" i="22" s="1"/>
  <c r="G92" i="22" s="1"/>
  <c r="R23" i="6"/>
  <c r="P61" i="15"/>
  <c r="G58" i="6"/>
  <c r="L29" i="28"/>
  <c r="G22" i="25"/>
  <c r="R11" i="5"/>
  <c r="R18" i="5"/>
  <c r="P18" i="5"/>
  <c r="Q18" i="5" s="1"/>
  <c r="K43" i="24"/>
  <c r="M345" i="28"/>
  <c r="R48" i="6"/>
  <c r="M53" i="6"/>
  <c r="N43" i="26"/>
  <c r="N43" i="20"/>
  <c r="H43" i="7"/>
  <c r="N33" i="27"/>
  <c r="O345" i="28"/>
  <c r="N27" i="21" s="1"/>
  <c r="O22" i="27"/>
  <c r="I347" i="28"/>
  <c r="I353" i="28" s="1"/>
  <c r="G56" i="21" s="1"/>
  <c r="I341" i="28"/>
  <c r="J331" i="28"/>
  <c r="O43" i="25"/>
  <c r="O44" i="25" s="1"/>
  <c r="O58" i="24"/>
  <c r="O33" i="22"/>
  <c r="P345" i="28"/>
  <c r="O27" i="21" s="1"/>
  <c r="Q345" i="28"/>
  <c r="P27" i="21" s="1"/>
  <c r="P45" i="6"/>
  <c r="Q45" i="6" s="1"/>
  <c r="O33" i="25"/>
  <c r="I340" i="28"/>
  <c r="I202" i="28"/>
  <c r="I195" i="28"/>
  <c r="I200" i="28"/>
  <c r="I203" i="28"/>
  <c r="G31" i="17" s="1"/>
  <c r="I197" i="28"/>
  <c r="I201" i="28"/>
  <c r="M201" i="28" s="1"/>
  <c r="I89" i="28"/>
  <c r="M89" i="28" s="1"/>
  <c r="I20" i="7" s="1"/>
  <c r="I94" i="28"/>
  <c r="G30" i="7" s="1"/>
  <c r="I338" i="28"/>
  <c r="I52" i="28"/>
  <c r="I58" i="28"/>
  <c r="I64" i="28" s="1"/>
  <c r="I51" i="28"/>
  <c r="I56" i="28"/>
  <c r="I50" i="28"/>
  <c r="I59" i="28"/>
  <c r="I57" i="28"/>
  <c r="P33" i="23"/>
  <c r="P44" i="23" s="1"/>
  <c r="I266" i="28"/>
  <c r="I278" i="28" s="1"/>
  <c r="G49" i="19" s="1"/>
  <c r="I272" i="28"/>
  <c r="J22" i="7"/>
  <c r="Q18" i="8"/>
  <c r="M58" i="20"/>
  <c r="J43" i="20"/>
  <c r="J221" i="28"/>
  <c r="J225" i="28" s="1"/>
  <c r="G61" i="18"/>
  <c r="M43" i="19"/>
  <c r="J33" i="25"/>
  <c r="J44" i="25" s="1"/>
  <c r="J59" i="25" s="1"/>
  <c r="I21" i="6"/>
  <c r="J58" i="16"/>
  <c r="L43" i="18"/>
  <c r="J77" i="28"/>
  <c r="J81" i="28" s="1"/>
  <c r="G61" i="7" s="1"/>
  <c r="I269" i="28"/>
  <c r="I275" i="28"/>
  <c r="G9" i="12"/>
  <c r="P11" i="13"/>
  <c r="Q11" i="13" s="1"/>
  <c r="L44" i="23"/>
  <c r="J22" i="22"/>
  <c r="L44" i="19"/>
  <c r="L59" i="19" s="1"/>
  <c r="K15" i="6" s="1"/>
  <c r="J33" i="17"/>
  <c r="J44" i="17" s="1"/>
  <c r="L22" i="20"/>
  <c r="L59" i="20" s="1"/>
  <c r="K16" i="6" s="1"/>
  <c r="G10" i="8"/>
  <c r="R8" i="30"/>
  <c r="Q8" i="30" s="1"/>
  <c r="F14" i="8"/>
  <c r="F22" i="8" s="1"/>
  <c r="G26" i="19"/>
  <c r="G31" i="1"/>
  <c r="Q269" i="28"/>
  <c r="M20" i="19" s="1"/>
  <c r="G20" i="19"/>
  <c r="M269" i="28"/>
  <c r="I20" i="19" s="1"/>
  <c r="Q50" i="28"/>
  <c r="P50" i="28"/>
  <c r="O50" i="28"/>
  <c r="M50" i="28"/>
  <c r="I13" i="1" s="1"/>
  <c r="G13" i="1"/>
  <c r="N50" i="28"/>
  <c r="L50" i="28"/>
  <c r="O201" i="28"/>
  <c r="N27" i="17" s="1"/>
  <c r="I27" i="17"/>
  <c r="F53" i="6"/>
  <c r="R53" i="6" s="1"/>
  <c r="R14" i="8"/>
  <c r="Q56" i="28"/>
  <c r="P26" i="1" s="1"/>
  <c r="N56" i="28"/>
  <c r="K26" i="1" s="1"/>
  <c r="Q94" i="28"/>
  <c r="P30" i="7" s="1"/>
  <c r="P94" i="28"/>
  <c r="O30" i="7" s="1"/>
  <c r="O94" i="28"/>
  <c r="N30" i="7" s="1"/>
  <c r="L94" i="28"/>
  <c r="H74" i="22"/>
  <c r="H80" i="22"/>
  <c r="H83" i="22"/>
  <c r="H81" i="22"/>
  <c r="Q51" i="28"/>
  <c r="P14" i="1" s="1"/>
  <c r="O51" i="28"/>
  <c r="N14" i="1" s="1"/>
  <c r="M51" i="28"/>
  <c r="I14" i="1"/>
  <c r="P10" i="8"/>
  <c r="Q10" i="8"/>
  <c r="G14" i="8"/>
  <c r="G30" i="1"/>
  <c r="G32" i="1" s="1"/>
  <c r="Q341" i="28"/>
  <c r="P20" i="21"/>
  <c r="O341" i="28"/>
  <c r="N20" i="21" s="1"/>
  <c r="P341" i="28"/>
  <c r="O20" i="21"/>
  <c r="N341" i="28"/>
  <c r="K20" i="21"/>
  <c r="G20" i="21"/>
  <c r="L341" i="28"/>
  <c r="P9" i="12"/>
  <c r="F14" i="10"/>
  <c r="L62" i="20"/>
  <c r="G19" i="1"/>
  <c r="Q89" i="28"/>
  <c r="P20" i="7" s="1"/>
  <c r="O89" i="28"/>
  <c r="N20" i="7" s="1"/>
  <c r="N89" i="28"/>
  <c r="K20" i="7" s="1"/>
  <c r="L89" i="28"/>
  <c r="Q200" i="28"/>
  <c r="P26" i="17" s="1"/>
  <c r="O200" i="28"/>
  <c r="N26" i="17"/>
  <c r="N28" i="17" s="1"/>
  <c r="G26" i="17"/>
  <c r="M200" i="28"/>
  <c r="I26" i="17" s="1"/>
  <c r="I28" i="17" s="1"/>
  <c r="P200" i="28"/>
  <c r="O26" i="17" s="1"/>
  <c r="N200" i="28"/>
  <c r="K26" i="17" s="1"/>
  <c r="L200" i="28"/>
  <c r="Q347" i="28"/>
  <c r="P31" i="21"/>
  <c r="P347" i="28"/>
  <c r="O31" i="21" s="1"/>
  <c r="O347" i="28"/>
  <c r="N31" i="21"/>
  <c r="G31" i="21"/>
  <c r="M347" i="28"/>
  <c r="I31" i="21"/>
  <c r="N347" i="28"/>
  <c r="K31" i="21" s="1"/>
  <c r="L347" i="28"/>
  <c r="Q275" i="28"/>
  <c r="M31" i="19"/>
  <c r="P31" i="19" s="1"/>
  <c r="P275" i="28"/>
  <c r="O31" i="19" s="1"/>
  <c r="O275" i="28"/>
  <c r="N31" i="19" s="1"/>
  <c r="G31" i="19"/>
  <c r="M275" i="28"/>
  <c r="I31" i="19" s="1"/>
  <c r="N275" i="28"/>
  <c r="K31" i="19" s="1"/>
  <c r="L275" i="28"/>
  <c r="P57" i="28"/>
  <c r="O27" i="1" s="1"/>
  <c r="M57" i="28"/>
  <c r="I27" i="1" s="1"/>
  <c r="G27" i="1"/>
  <c r="O338" i="28"/>
  <c r="N13" i="21" s="1"/>
  <c r="P338" i="28"/>
  <c r="M338" i="28"/>
  <c r="G13" i="21"/>
  <c r="L338" i="28"/>
  <c r="Q195" i="28"/>
  <c r="P14" i="17" s="1"/>
  <c r="P195" i="28"/>
  <c r="O14" i="17" s="1"/>
  <c r="O195" i="28"/>
  <c r="N14" i="17" s="1"/>
  <c r="G14" i="17"/>
  <c r="N195" i="28"/>
  <c r="K14" i="17" s="1"/>
  <c r="M195" i="28"/>
  <c r="I14" i="17" s="1"/>
  <c r="L195" i="28"/>
  <c r="P340" i="28"/>
  <c r="O19" i="21"/>
  <c r="N340" i="28"/>
  <c r="K19" i="21" s="1"/>
  <c r="G19" i="21"/>
  <c r="G21" i="21" s="1"/>
  <c r="L340" i="28"/>
  <c r="M340" i="28"/>
  <c r="I19" i="21" s="1"/>
  <c r="L81" i="22"/>
  <c r="M27" i="22" s="1"/>
  <c r="G27" i="22"/>
  <c r="K81" i="22"/>
  <c r="K27" i="22" s="1"/>
  <c r="N13" i="1"/>
  <c r="L83" i="22"/>
  <c r="M31" i="22" s="1"/>
  <c r="G31" i="22"/>
  <c r="R22" i="8"/>
  <c r="F11" i="12"/>
  <c r="R11" i="12" s="1"/>
  <c r="O13" i="1"/>
  <c r="L80" i="22"/>
  <c r="M26" i="22" s="1"/>
  <c r="L26" i="5" s="1"/>
  <c r="G26" i="22"/>
  <c r="J80" i="22"/>
  <c r="I26" i="22" s="1"/>
  <c r="K80" i="22"/>
  <c r="K26" i="22"/>
  <c r="K28" i="22" s="1"/>
  <c r="O13" i="21"/>
  <c r="M32" i="19"/>
  <c r="M33" i="19"/>
  <c r="M44" i="19" s="1"/>
  <c r="F17" i="10"/>
  <c r="I13" i="21"/>
  <c r="G13" i="22"/>
  <c r="K13" i="1"/>
  <c r="I15" i="1"/>
  <c r="M80" i="22"/>
  <c r="G28" i="22"/>
  <c r="I302" i="28"/>
  <c r="I310" i="28"/>
  <c r="I305" i="28"/>
  <c r="H320" i="28"/>
  <c r="I303" i="28"/>
  <c r="I308" i="28"/>
  <c r="I311" i="28"/>
  <c r="I309" i="28"/>
  <c r="I304" i="28"/>
  <c r="Q203" i="28"/>
  <c r="P31" i="17" s="1"/>
  <c r="Q197" i="28"/>
  <c r="P20" i="17" s="1"/>
  <c r="M197" i="28"/>
  <c r="I20" i="17"/>
  <c r="N203" i="28"/>
  <c r="K31" i="17" s="1"/>
  <c r="P203" i="28"/>
  <c r="O31" i="17"/>
  <c r="N197" i="28"/>
  <c r="K20" i="17" s="1"/>
  <c r="J189" i="28"/>
  <c r="G61" i="17" s="1"/>
  <c r="L197" i="28"/>
  <c r="O203" i="28"/>
  <c r="N31" i="17" s="1"/>
  <c r="M203" i="28"/>
  <c r="I31" i="17"/>
  <c r="L203" i="28"/>
  <c r="P197" i="28"/>
  <c r="O20" i="17" s="1"/>
  <c r="M202" i="28"/>
  <c r="I30" i="17" s="1"/>
  <c r="O197" i="28"/>
  <c r="N20" i="17" s="1"/>
  <c r="O21" i="21"/>
  <c r="H31" i="21"/>
  <c r="P202" i="28"/>
  <c r="O30" i="17"/>
  <c r="L202" i="28"/>
  <c r="O202" i="28"/>
  <c r="N30" i="17" s="1"/>
  <c r="N202" i="28"/>
  <c r="K30" i="17" s="1"/>
  <c r="Q202" i="28"/>
  <c r="P30" i="17" s="1"/>
  <c r="P32" i="17" s="1"/>
  <c r="G30" i="17"/>
  <c r="J42" i="5"/>
  <c r="L62" i="19"/>
  <c r="N353" i="28"/>
  <c r="K56" i="21" s="1"/>
  <c r="J333" i="28"/>
  <c r="G61" i="21" s="1"/>
  <c r="M341" i="28"/>
  <c r="I20" i="21" s="1"/>
  <c r="G38" i="5"/>
  <c r="I15" i="5"/>
  <c r="I22" i="5" s="1"/>
  <c r="P12" i="5"/>
  <c r="Q12" i="5"/>
  <c r="P61" i="16"/>
  <c r="L189" i="28"/>
  <c r="I28" i="5"/>
  <c r="I33" i="5" s="1"/>
  <c r="H70" i="22"/>
  <c r="H71" i="22" s="1"/>
  <c r="P17" i="5"/>
  <c r="Q17" i="5" s="1"/>
  <c r="J43" i="5"/>
  <c r="L345" i="28"/>
  <c r="L333" i="28"/>
  <c r="P11" i="5"/>
  <c r="Q11" i="5" s="1"/>
  <c r="H38" i="5"/>
  <c r="H43" i="5" s="1"/>
  <c r="K38" i="5"/>
  <c r="K43" i="5" s="1"/>
  <c r="K44" i="25"/>
  <c r="F42" i="5"/>
  <c r="K43" i="1"/>
  <c r="H43" i="20"/>
  <c r="N33" i="25"/>
  <c r="N44" i="25" s="1"/>
  <c r="J44" i="16"/>
  <c r="K58" i="27"/>
  <c r="K33" i="24"/>
  <c r="K44" i="24" s="1"/>
  <c r="N33" i="24"/>
  <c r="I43" i="17"/>
  <c r="N22" i="25"/>
  <c r="P58" i="24"/>
  <c r="P22" i="22"/>
  <c r="I267" i="28"/>
  <c r="I268" i="28"/>
  <c r="I273" i="28"/>
  <c r="I274" i="28"/>
  <c r="F38" i="5"/>
  <c r="G43" i="21"/>
  <c r="G43" i="1"/>
  <c r="I43" i="22"/>
  <c r="N345" i="28"/>
  <c r="G30" i="20"/>
  <c r="J44" i="7"/>
  <c r="G33" i="24"/>
  <c r="I58" i="25"/>
  <c r="N22" i="23"/>
  <c r="N59" i="23"/>
  <c r="M19" i="6"/>
  <c r="K27" i="21"/>
  <c r="J257" i="28"/>
  <c r="M266" i="28" s="1"/>
  <c r="I13" i="19" s="1"/>
  <c r="F10" i="30"/>
  <c r="R10" i="30" s="1"/>
  <c r="N36" i="18"/>
  <c r="M36" i="5" s="1"/>
  <c r="G9" i="30"/>
  <c r="F9" i="12"/>
  <c r="R9" i="12" s="1"/>
  <c r="Q9" i="12" s="1"/>
  <c r="M272" i="28"/>
  <c r="I26" i="19" s="1"/>
  <c r="I28" i="19" s="1"/>
  <c r="O266" i="28"/>
  <c r="Q272" i="28"/>
  <c r="P26" i="19" s="1"/>
  <c r="L272" i="28"/>
  <c r="Q266" i="28"/>
  <c r="P272" i="28"/>
  <c r="O26" i="19" s="1"/>
  <c r="L278" i="28"/>
  <c r="N278" i="28"/>
  <c r="K49" i="19" s="1"/>
  <c r="O278" i="28"/>
  <c r="N49" i="19" s="1"/>
  <c r="M278" i="28"/>
  <c r="I49" i="19" s="1"/>
  <c r="R38" i="5"/>
  <c r="G31" i="20"/>
  <c r="P309" i="28"/>
  <c r="O27" i="20" s="1"/>
  <c r="M309" i="28"/>
  <c r="I27" i="20" s="1"/>
  <c r="N309" i="28"/>
  <c r="K27" i="20" s="1"/>
  <c r="P308" i="28"/>
  <c r="O26" i="20" s="1"/>
  <c r="O308" i="28"/>
  <c r="N26" i="20"/>
  <c r="L308" i="28"/>
  <c r="G26" i="20"/>
  <c r="N308" i="28"/>
  <c r="K26" i="20"/>
  <c r="K28" i="20" s="1"/>
  <c r="Q308" i="28"/>
  <c r="P26" i="20" s="1"/>
  <c r="M308" i="28"/>
  <c r="I26" i="20" s="1"/>
  <c r="F13" i="12"/>
  <c r="R13" i="12" s="1"/>
  <c r="H61" i="21"/>
  <c r="S22" i="28" s="1"/>
  <c r="T22" i="28" s="1"/>
  <c r="N266" i="28"/>
  <c r="G14" i="20"/>
  <c r="M303" i="28"/>
  <c r="I14" i="20" s="1"/>
  <c r="N303" i="28"/>
  <c r="K14" i="20" s="1"/>
  <c r="L303" i="28"/>
  <c r="I315" i="28"/>
  <c r="Q303" i="28"/>
  <c r="P14" i="20" s="1"/>
  <c r="P303" i="28"/>
  <c r="O14" i="20" s="1"/>
  <c r="O303" i="28"/>
  <c r="N14" i="20" s="1"/>
  <c r="Q274" i="28"/>
  <c r="P30" i="19"/>
  <c r="P32" i="19" s="1"/>
  <c r="M274" i="28"/>
  <c r="I30" i="19" s="1"/>
  <c r="I32" i="19" s="1"/>
  <c r="P273" i="28"/>
  <c r="O27" i="19" s="1"/>
  <c r="G27" i="19"/>
  <c r="M273" i="28"/>
  <c r="I27" i="19" s="1"/>
  <c r="L273" i="28"/>
  <c r="N273" i="28"/>
  <c r="K27" i="19" s="1"/>
  <c r="O273" i="28"/>
  <c r="N27" i="19" s="1"/>
  <c r="Q273" i="28"/>
  <c r="P27" i="19" s="1"/>
  <c r="P28" i="19" s="1"/>
  <c r="P33" i="19" s="1"/>
  <c r="P44" i="19" s="1"/>
  <c r="H61" i="17"/>
  <c r="S14" i="28" s="1"/>
  <c r="I190" i="28"/>
  <c r="I32" i="17"/>
  <c r="P268" i="28"/>
  <c r="O19" i="19" s="1"/>
  <c r="M268" i="28"/>
  <c r="I19" i="19" s="1"/>
  <c r="I21" i="19" s="1"/>
  <c r="Q268" i="28"/>
  <c r="P19" i="19" s="1"/>
  <c r="N268" i="28"/>
  <c r="K19" i="19" s="1"/>
  <c r="L268" i="28"/>
  <c r="O268" i="28"/>
  <c r="N19" i="19" s="1"/>
  <c r="G19" i="19"/>
  <c r="G20" i="20"/>
  <c r="P266" i="28"/>
  <c r="P9" i="30"/>
  <c r="Q9" i="30" s="1"/>
  <c r="G10" i="30"/>
  <c r="I280" i="28"/>
  <c r="P267" i="28"/>
  <c r="O14" i="19" s="1"/>
  <c r="O15" i="19" s="1"/>
  <c r="N267" i="28"/>
  <c r="K14" i="19" s="1"/>
  <c r="G14" i="19"/>
  <c r="L267" i="28"/>
  <c r="G43" i="5"/>
  <c r="G19" i="20"/>
  <c r="I316" i="28"/>
  <c r="P302" i="28"/>
  <c r="O302" i="28"/>
  <c r="N13" i="20" s="1"/>
  <c r="Q302" i="28"/>
  <c r="M302" i="28"/>
  <c r="G13" i="20"/>
  <c r="N302" i="28"/>
  <c r="K13" i="20" s="1"/>
  <c r="L302" i="28"/>
  <c r="I314" i="28"/>
  <c r="N15" i="20"/>
  <c r="I21" i="21"/>
  <c r="H20" i="21"/>
  <c r="G21" i="19"/>
  <c r="N314" i="28"/>
  <c r="K49" i="20" s="1"/>
  <c r="K51" i="20" s="1"/>
  <c r="O314" i="28"/>
  <c r="N49" i="20" s="1"/>
  <c r="Q314" i="28"/>
  <c r="P49" i="20" s="1"/>
  <c r="G49" i="20"/>
  <c r="M314" i="28"/>
  <c r="I49" i="20" s="1"/>
  <c r="H49" i="20" s="1"/>
  <c r="P314" i="28"/>
  <c r="O49" i="20"/>
  <c r="L314" i="28"/>
  <c r="O280" i="28"/>
  <c r="N55" i="19" s="1"/>
  <c r="Q280" i="28"/>
  <c r="P55" i="19" s="1"/>
  <c r="N280" i="28"/>
  <c r="K55" i="19" s="1"/>
  <c r="M280" i="28"/>
  <c r="I55" i="19" s="1"/>
  <c r="G55" i="19"/>
  <c r="H26" i="20"/>
  <c r="O13" i="20"/>
  <c r="G55" i="20"/>
  <c r="P13" i="19"/>
  <c r="G21" i="20"/>
  <c r="O13" i="19"/>
  <c r="N13" i="19"/>
  <c r="G15" i="20"/>
  <c r="J190" i="28"/>
  <c r="I191" i="28"/>
  <c r="P13" i="20"/>
  <c r="P15" i="20" s="1"/>
  <c r="I13" i="20"/>
  <c r="P10" i="30"/>
  <c r="Q10" i="30" s="1"/>
  <c r="G13" i="12"/>
  <c r="J14" i="10" s="1"/>
  <c r="J17" i="10" s="1"/>
  <c r="S25" i="28"/>
  <c r="T25" i="28"/>
  <c r="T14" i="28"/>
  <c r="G28" i="19"/>
  <c r="Q315" i="28"/>
  <c r="P50" i="20"/>
  <c r="P51" i="20" s="1"/>
  <c r="G50" i="20"/>
  <c r="M315" i="28"/>
  <c r="I50" i="20" s="1"/>
  <c r="O315" i="28"/>
  <c r="N50" i="20" s="1"/>
  <c r="N51" i="20" s="1"/>
  <c r="L315" i="28"/>
  <c r="P315" i="28"/>
  <c r="O50" i="20"/>
  <c r="O51" i="20" s="1"/>
  <c r="N315" i="28"/>
  <c r="K50" i="20"/>
  <c r="K13" i="19"/>
  <c r="O28" i="19"/>
  <c r="P13" i="12"/>
  <c r="Q13" i="12" s="1"/>
  <c r="G51" i="20"/>
  <c r="I51" i="20"/>
  <c r="K15" i="19"/>
  <c r="G22" i="20"/>
  <c r="I33" i="19" l="1"/>
  <c r="I44" i="19" s="1"/>
  <c r="K15" i="20"/>
  <c r="H13" i="20"/>
  <c r="H27" i="19"/>
  <c r="Q278" i="28"/>
  <c r="P49" i="19" s="1"/>
  <c r="N272" i="28"/>
  <c r="K26" i="19" s="1"/>
  <c r="K28" i="19" s="1"/>
  <c r="I28" i="20"/>
  <c r="J261" i="28"/>
  <c r="G61" i="19" s="1"/>
  <c r="O272" i="28"/>
  <c r="N26" i="19" s="1"/>
  <c r="N28" i="19" s="1"/>
  <c r="L266" i="28"/>
  <c r="P278" i="28"/>
  <c r="O49" i="19" s="1"/>
  <c r="I15" i="20"/>
  <c r="G55" i="1"/>
  <c r="I44" i="5"/>
  <c r="H61" i="1"/>
  <c r="S6" i="28" s="1"/>
  <c r="T6" i="28" s="1"/>
  <c r="P59" i="28"/>
  <c r="O31" i="1" s="1"/>
  <c r="P47" i="5"/>
  <c r="I38" i="5"/>
  <c r="I43" i="5" s="1"/>
  <c r="I43" i="23"/>
  <c r="H43" i="23"/>
  <c r="N44" i="27"/>
  <c r="N59" i="27" s="1"/>
  <c r="M23" i="6" s="1"/>
  <c r="N44" i="22"/>
  <c r="H241" i="28"/>
  <c r="H247" i="28" s="1"/>
  <c r="H248" i="28" s="1"/>
  <c r="H104" i="28"/>
  <c r="I88" i="28"/>
  <c r="I95" i="28"/>
  <c r="I87" i="28"/>
  <c r="L87" i="28" s="1"/>
  <c r="J43" i="28"/>
  <c r="M64" i="28" s="1"/>
  <c r="I55" i="1" s="1"/>
  <c r="I53" i="28"/>
  <c r="I45" i="28"/>
  <c r="O269" i="28"/>
  <c r="N20" i="19" s="1"/>
  <c r="N21" i="19" s="1"/>
  <c r="L269" i="28"/>
  <c r="O32" i="17"/>
  <c r="L31" i="5"/>
  <c r="P58" i="28"/>
  <c r="O30" i="1" s="1"/>
  <c r="O32" i="1" s="1"/>
  <c r="N15" i="1"/>
  <c r="H77" i="22"/>
  <c r="H82" i="22"/>
  <c r="N94" i="28"/>
  <c r="K30" i="7" s="1"/>
  <c r="Q59" i="28"/>
  <c r="P31" i="1" s="1"/>
  <c r="I207" i="28"/>
  <c r="P53" i="5"/>
  <c r="Q53" i="5" s="1"/>
  <c r="K33" i="5"/>
  <c r="K44" i="5" s="1"/>
  <c r="K21" i="5"/>
  <c r="L38" i="5"/>
  <c r="G43" i="16"/>
  <c r="K21" i="21"/>
  <c r="L58" i="28"/>
  <c r="N58" i="28"/>
  <c r="K30" i="1" s="1"/>
  <c r="H75" i="22"/>
  <c r="H76" i="22"/>
  <c r="M94" i="28"/>
  <c r="I30" i="7" s="1"/>
  <c r="H30" i="7" s="1"/>
  <c r="G13" i="19"/>
  <c r="I43" i="25"/>
  <c r="I44" i="23"/>
  <c r="H58" i="23"/>
  <c r="P269" i="28"/>
  <c r="O20" i="19" s="1"/>
  <c r="O21" i="19" s="1"/>
  <c r="O22" i="19" s="1"/>
  <c r="P48" i="5"/>
  <c r="Q48" i="5" s="1"/>
  <c r="L297" i="28"/>
  <c r="L153" i="28"/>
  <c r="G58" i="26"/>
  <c r="G43" i="24"/>
  <c r="G44" i="24" s="1"/>
  <c r="G22" i="24"/>
  <c r="G43" i="23"/>
  <c r="G22" i="23"/>
  <c r="K33" i="27"/>
  <c r="K44" i="27" s="1"/>
  <c r="K59" i="27" s="1"/>
  <c r="J23" i="6" s="1"/>
  <c r="K58" i="26"/>
  <c r="K22" i="25"/>
  <c r="K59" i="25" s="1"/>
  <c r="J21" i="6" s="1"/>
  <c r="K58" i="23"/>
  <c r="K33" i="23"/>
  <c r="K44" i="23" s="1"/>
  <c r="K43" i="16"/>
  <c r="K43" i="7"/>
  <c r="I58" i="26"/>
  <c r="I22" i="26"/>
  <c r="I43" i="18"/>
  <c r="H33" i="26"/>
  <c r="H43" i="25"/>
  <c r="H44" i="25" s="1"/>
  <c r="H59" i="25" s="1"/>
  <c r="G21" i="6" s="1"/>
  <c r="H22" i="25"/>
  <c r="H22" i="23"/>
  <c r="H43" i="18"/>
  <c r="H43" i="15"/>
  <c r="O33" i="27"/>
  <c r="O44" i="27" s="1"/>
  <c r="O59" i="27" s="1"/>
  <c r="N23" i="6" s="1"/>
  <c r="O58" i="26"/>
  <c r="O43" i="22"/>
  <c r="O44" i="22" s="1"/>
  <c r="O59" i="22" s="1"/>
  <c r="N18" i="6" s="1"/>
  <c r="P58" i="25"/>
  <c r="O40" i="18"/>
  <c r="P43" i="7"/>
  <c r="M22" i="17"/>
  <c r="M43" i="1"/>
  <c r="M44" i="1" s="1"/>
  <c r="N153" i="28"/>
  <c r="K61" i="16" s="1"/>
  <c r="N81" i="28"/>
  <c r="K61" i="7" s="1"/>
  <c r="N45" i="28"/>
  <c r="K61" i="1" s="1"/>
  <c r="P44" i="24"/>
  <c r="M44" i="27"/>
  <c r="K51" i="5"/>
  <c r="K57" i="5"/>
  <c r="K15" i="5"/>
  <c r="L261" i="28"/>
  <c r="H61" i="19" s="1"/>
  <c r="S18" i="28" s="1"/>
  <c r="T18" i="28" s="1"/>
  <c r="G58" i="25"/>
  <c r="G33" i="25"/>
  <c r="G43" i="20"/>
  <c r="K33" i="26"/>
  <c r="K44" i="26" s="1"/>
  <c r="K59" i="26" s="1"/>
  <c r="J22" i="6" s="1"/>
  <c r="K58" i="24"/>
  <c r="K59" i="24" s="1"/>
  <c r="J20" i="6" s="1"/>
  <c r="K43" i="22"/>
  <c r="K43" i="20"/>
  <c r="I58" i="27"/>
  <c r="I59" i="27" s="1"/>
  <c r="H23" i="6" s="1"/>
  <c r="I43" i="26"/>
  <c r="I44" i="26" s="1"/>
  <c r="I59" i="26" s="1"/>
  <c r="H22" i="6" s="1"/>
  <c r="I43" i="24"/>
  <c r="I22" i="24"/>
  <c r="H33" i="23"/>
  <c r="H44" i="23" s="1"/>
  <c r="N22" i="26"/>
  <c r="N43" i="24"/>
  <c r="N44" i="24" s="1"/>
  <c r="N59" i="24" s="1"/>
  <c r="M20" i="6" s="1"/>
  <c r="N22" i="24"/>
  <c r="N43" i="16"/>
  <c r="J295" i="28"/>
  <c r="I196" i="28"/>
  <c r="M33" i="7"/>
  <c r="M44" i="7" s="1"/>
  <c r="M59" i="7" s="1"/>
  <c r="J43" i="26"/>
  <c r="L44" i="17"/>
  <c r="M33" i="25"/>
  <c r="M58" i="24"/>
  <c r="M33" i="21"/>
  <c r="M44" i="21" s="1"/>
  <c r="M43" i="15"/>
  <c r="M22" i="15"/>
  <c r="M22" i="1"/>
  <c r="J22" i="26"/>
  <c r="J43" i="19"/>
  <c r="J44" i="19" s="1"/>
  <c r="J59" i="19" s="1"/>
  <c r="P21" i="8"/>
  <c r="Q21" i="8" s="1"/>
  <c r="L44" i="27"/>
  <c r="L33" i="21"/>
  <c r="L44" i="21" s="1"/>
  <c r="L33" i="18"/>
  <c r="L44" i="18" s="1"/>
  <c r="L59" i="18" s="1"/>
  <c r="L22" i="16"/>
  <c r="H58" i="27"/>
  <c r="H33" i="24"/>
  <c r="H43" i="21"/>
  <c r="M333" i="28"/>
  <c r="N58" i="25"/>
  <c r="N59" i="25" s="1"/>
  <c r="M21" i="6" s="1"/>
  <c r="N22" i="22"/>
  <c r="N59" i="22" s="1"/>
  <c r="M18" i="6" s="1"/>
  <c r="O22" i="26"/>
  <c r="O33" i="24"/>
  <c r="O58" i="23"/>
  <c r="P81" i="28"/>
  <c r="O61" i="7" s="1"/>
  <c r="P43" i="27"/>
  <c r="P43" i="26"/>
  <c r="P43" i="25"/>
  <c r="P44" i="25" s="1"/>
  <c r="P59" i="25" s="1"/>
  <c r="O21" i="6" s="1"/>
  <c r="P22" i="24"/>
  <c r="P59" i="24" s="1"/>
  <c r="O20" i="6" s="1"/>
  <c r="P22" i="23"/>
  <c r="P59" i="23" s="1"/>
  <c r="O19" i="6" s="1"/>
  <c r="P43" i="22"/>
  <c r="P44" i="22" s="1"/>
  <c r="P59" i="22" s="1"/>
  <c r="O18" i="6" s="1"/>
  <c r="P43" i="20"/>
  <c r="J149" i="28"/>
  <c r="J153" i="28" s="1"/>
  <c r="G61" i="16" s="1"/>
  <c r="J117" i="28"/>
  <c r="G61" i="15" s="1"/>
  <c r="H117" i="28"/>
  <c r="H119" i="28" s="1"/>
  <c r="Q81" i="28"/>
  <c r="P61" i="7" s="1"/>
  <c r="M58" i="27"/>
  <c r="M33" i="17"/>
  <c r="M58" i="16"/>
  <c r="M58" i="15"/>
  <c r="J43" i="24"/>
  <c r="J33" i="23"/>
  <c r="J44" i="23" s="1"/>
  <c r="J33" i="21"/>
  <c r="J33" i="20"/>
  <c r="J44" i="20" s="1"/>
  <c r="J58" i="17"/>
  <c r="J22" i="16"/>
  <c r="J59" i="16" s="1"/>
  <c r="J43" i="15"/>
  <c r="J58" i="1"/>
  <c r="L58" i="26"/>
  <c r="L33" i="26"/>
  <c r="L44" i="26" s="1"/>
  <c r="L58" i="25"/>
  <c r="L22" i="24"/>
  <c r="L44" i="16"/>
  <c r="L44" i="7"/>
  <c r="L43" i="1"/>
  <c r="L44" i="1" s="1"/>
  <c r="L59" i="1" s="1"/>
  <c r="K9" i="6" s="1"/>
  <c r="L22" i="8"/>
  <c r="L11" i="12" s="1"/>
  <c r="Q13" i="8"/>
  <c r="O43" i="24"/>
  <c r="O44" i="24" s="1"/>
  <c r="O43" i="23"/>
  <c r="O43" i="17"/>
  <c r="O43" i="16"/>
  <c r="O43" i="7"/>
  <c r="P33" i="27"/>
  <c r="P33" i="26"/>
  <c r="P44" i="26" s="1"/>
  <c r="P59" i="26" s="1"/>
  <c r="O22" i="6" s="1"/>
  <c r="P58" i="22"/>
  <c r="J151" i="28"/>
  <c r="H153" i="28"/>
  <c r="H155" i="28" s="1"/>
  <c r="P43" i="15"/>
  <c r="M43" i="25"/>
  <c r="J33" i="27"/>
  <c r="J44" i="27" s="1"/>
  <c r="J59" i="27" s="1"/>
  <c r="I23" i="6" s="1"/>
  <c r="J33" i="26"/>
  <c r="J44" i="26" s="1"/>
  <c r="J59" i="26" s="1"/>
  <c r="I22" i="6" s="1"/>
  <c r="J58" i="24"/>
  <c r="J33" i="24"/>
  <c r="J22" i="23"/>
  <c r="J22" i="20"/>
  <c r="J58" i="15"/>
  <c r="J43" i="1"/>
  <c r="J44" i="1" s="1"/>
  <c r="J59" i="1" s="1"/>
  <c r="I9" i="6" s="1"/>
  <c r="L43" i="25"/>
  <c r="L44" i="25" s="1"/>
  <c r="L22" i="18"/>
  <c r="L58" i="16"/>
  <c r="L58" i="7"/>
  <c r="Q8" i="13"/>
  <c r="Q19" i="8"/>
  <c r="H15" i="20"/>
  <c r="H50" i="20"/>
  <c r="H51" i="20" s="1"/>
  <c r="O15" i="20"/>
  <c r="H14" i="20"/>
  <c r="H19" i="19"/>
  <c r="L274" i="28"/>
  <c r="P274" i="28"/>
  <c r="O274" i="28"/>
  <c r="N30" i="19" s="1"/>
  <c r="N32" i="19" s="1"/>
  <c r="N33" i="19" s="1"/>
  <c r="N44" i="19" s="1"/>
  <c r="G30" i="19"/>
  <c r="N274" i="28"/>
  <c r="K30" i="19" s="1"/>
  <c r="K32" i="19" s="1"/>
  <c r="K33" i="19" s="1"/>
  <c r="K44" i="19" s="1"/>
  <c r="H31" i="17"/>
  <c r="P280" i="28"/>
  <c r="O55" i="19" s="1"/>
  <c r="L280" i="28"/>
  <c r="G32" i="20"/>
  <c r="H26" i="19"/>
  <c r="H28" i="19" s="1"/>
  <c r="O28" i="20"/>
  <c r="H49" i="19"/>
  <c r="H51" i="19" s="1"/>
  <c r="I33" i="17"/>
  <c r="I44" i="17" s="1"/>
  <c r="J83" i="22"/>
  <c r="I31" i="22" s="1"/>
  <c r="H89" i="22"/>
  <c r="K83" i="22"/>
  <c r="K31" i="22" s="1"/>
  <c r="L74" i="22"/>
  <c r="J74" i="22"/>
  <c r="K74" i="22"/>
  <c r="H86" i="22"/>
  <c r="M267" i="28"/>
  <c r="Q267" i="28"/>
  <c r="I279" i="28"/>
  <c r="O267" i="28"/>
  <c r="R42" i="5"/>
  <c r="F43" i="5"/>
  <c r="R43" i="5" s="1"/>
  <c r="H30" i="17"/>
  <c r="H32" i="17" s="1"/>
  <c r="G32" i="17"/>
  <c r="N32" i="17"/>
  <c r="N33" i="17" s="1"/>
  <c r="N44" i="17" s="1"/>
  <c r="L309" i="28"/>
  <c r="O309" i="28"/>
  <c r="N27" i="20" s="1"/>
  <c r="N28" i="20" s="1"/>
  <c r="Q309" i="28"/>
  <c r="G27" i="20"/>
  <c r="L27" i="5"/>
  <c r="L28" i="5" s="1"/>
  <c r="M28" i="22"/>
  <c r="P20" i="19"/>
  <c r="P21" i="19" s="1"/>
  <c r="M21" i="19"/>
  <c r="M22" i="19" s="1"/>
  <c r="N311" i="28"/>
  <c r="O311" i="28"/>
  <c r="N31" i="20" s="1"/>
  <c r="P311" i="28"/>
  <c r="O31" i="20" s="1"/>
  <c r="P305" i="28"/>
  <c r="I317" i="28"/>
  <c r="M305" i="28"/>
  <c r="O305" i="28"/>
  <c r="H26" i="22"/>
  <c r="H31" i="22"/>
  <c r="P14" i="8"/>
  <c r="Q14" i="8" s="1"/>
  <c r="G22" i="8"/>
  <c r="P13" i="1"/>
  <c r="R52" i="6"/>
  <c r="J47" i="6"/>
  <c r="H47" i="6"/>
  <c r="K32" i="17"/>
  <c r="H14" i="17"/>
  <c r="H31" i="19"/>
  <c r="P87" i="28"/>
  <c r="O14" i="7" s="1"/>
  <c r="N87" i="28"/>
  <c r="K14" i="7" s="1"/>
  <c r="O87" i="28"/>
  <c r="N14" i="7" s="1"/>
  <c r="Q87" i="28"/>
  <c r="P14" i="7" s="1"/>
  <c r="G14" i="7"/>
  <c r="M87" i="28"/>
  <c r="I14" i="7" s="1"/>
  <c r="G31" i="7"/>
  <c r="I101" i="28"/>
  <c r="O95" i="28"/>
  <c r="N31" i="7" s="1"/>
  <c r="N32" i="7" s="1"/>
  <c r="N95" i="28"/>
  <c r="K31" i="7" s="1"/>
  <c r="M95" i="28"/>
  <c r="I31" i="7" s="1"/>
  <c r="I32" i="7" s="1"/>
  <c r="P353" i="28"/>
  <c r="O56" i="21" s="1"/>
  <c r="M353" i="28"/>
  <c r="I56" i="21" s="1"/>
  <c r="H56" i="21" s="1"/>
  <c r="Q353" i="28"/>
  <c r="P56" i="21" s="1"/>
  <c r="O353" i="28"/>
  <c r="N56" i="21" s="1"/>
  <c r="L353" i="28"/>
  <c r="Q57" i="28"/>
  <c r="P27" i="1" s="1"/>
  <c r="L57" i="28"/>
  <c r="O57" i="28"/>
  <c r="N27" i="1" s="1"/>
  <c r="N57" i="28"/>
  <c r="K27" i="1" s="1"/>
  <c r="K28" i="1" s="1"/>
  <c r="I62" i="28"/>
  <c r="G26" i="1"/>
  <c r="P56" i="28"/>
  <c r="O26" i="1" s="1"/>
  <c r="O56" i="28"/>
  <c r="L56" i="28"/>
  <c r="M56" i="28"/>
  <c r="Q207" i="28"/>
  <c r="P50" i="17" s="1"/>
  <c r="M207" i="28"/>
  <c r="I50" i="17" s="1"/>
  <c r="G50" i="17"/>
  <c r="P207" i="28"/>
  <c r="O50" i="17" s="1"/>
  <c r="H26" i="17"/>
  <c r="L42" i="5"/>
  <c r="J81" i="22"/>
  <c r="H87" i="22"/>
  <c r="I65" i="28"/>
  <c r="L53" i="28"/>
  <c r="N53" i="28"/>
  <c r="K20" i="1" s="1"/>
  <c r="Q53" i="28"/>
  <c r="P20" i="1" s="1"/>
  <c r="I63" i="28"/>
  <c r="G14" i="1"/>
  <c r="P51" i="28"/>
  <c r="N51" i="28"/>
  <c r="L51" i="28"/>
  <c r="G20" i="17"/>
  <c r="H20" i="17" s="1"/>
  <c r="I209" i="28"/>
  <c r="Q47" i="5"/>
  <c r="L117" i="28"/>
  <c r="Q338" i="28"/>
  <c r="N338" i="28"/>
  <c r="P89" i="28"/>
  <c r="O20" i="7" s="1"/>
  <c r="G20" i="7"/>
  <c r="Q340" i="28"/>
  <c r="P19" i="21" s="1"/>
  <c r="P21" i="21" s="1"/>
  <c r="O340" i="28"/>
  <c r="N19" i="21" s="1"/>
  <c r="N21" i="21" s="1"/>
  <c r="P54" i="5"/>
  <c r="Q54" i="5" s="1"/>
  <c r="I57" i="5"/>
  <c r="I58" i="5" s="1"/>
  <c r="I59" i="5" s="1"/>
  <c r="K58" i="5"/>
  <c r="K22" i="5"/>
  <c r="L43" i="5"/>
  <c r="Q201" i="28"/>
  <c r="P27" i="17" s="1"/>
  <c r="P28" i="17" s="1"/>
  <c r="P33" i="17" s="1"/>
  <c r="P44" i="17" s="1"/>
  <c r="N201" i="28"/>
  <c r="K27" i="17" s="1"/>
  <c r="K28" i="17" s="1"/>
  <c r="K33" i="17" s="1"/>
  <c r="K44" i="17" s="1"/>
  <c r="G27" i="17"/>
  <c r="L201" i="28"/>
  <c r="P40" i="6"/>
  <c r="Q40" i="6" s="1"/>
  <c r="H44" i="26"/>
  <c r="N40" i="5"/>
  <c r="H59" i="26"/>
  <c r="G22" i="6" s="1"/>
  <c r="N44" i="26"/>
  <c r="N59" i="26" s="1"/>
  <c r="M22" i="6" s="1"/>
  <c r="O59" i="25"/>
  <c r="N21" i="6" s="1"/>
  <c r="O88" i="28"/>
  <c r="N19" i="7" s="1"/>
  <c r="P201" i="28"/>
  <c r="O27" i="17" s="1"/>
  <c r="O28" i="17" s="1"/>
  <c r="O33" i="17" s="1"/>
  <c r="O44" i="17" s="1"/>
  <c r="L64" i="28"/>
  <c r="N269" i="28"/>
  <c r="I281" i="28"/>
  <c r="Q64" i="28"/>
  <c r="P55" i="1" s="1"/>
  <c r="M59" i="28"/>
  <c r="I31" i="1" s="1"/>
  <c r="L59" i="28"/>
  <c r="G13" i="10"/>
  <c r="K11" i="10"/>
  <c r="L225" i="28"/>
  <c r="I44" i="25"/>
  <c r="H59" i="23"/>
  <c r="G19" i="6" s="1"/>
  <c r="I27" i="21"/>
  <c r="H27" i="21" s="1"/>
  <c r="I239" i="28"/>
  <c r="I238" i="28"/>
  <c r="L81" i="28"/>
  <c r="G58" i="24"/>
  <c r="O59" i="24"/>
  <c r="N20" i="6" s="1"/>
  <c r="M43" i="17"/>
  <c r="M44" i="17" s="1"/>
  <c r="M59" i="17" s="1"/>
  <c r="G33" i="26"/>
  <c r="G44" i="26" s="1"/>
  <c r="G59" i="26" s="1"/>
  <c r="F22" i="6" s="1"/>
  <c r="R22" i="6" s="1"/>
  <c r="G43" i="25"/>
  <c r="G44" i="25" s="1"/>
  <c r="G59" i="25" s="1"/>
  <c r="F21" i="6" s="1"/>
  <c r="R21" i="6" s="1"/>
  <c r="G58" i="23"/>
  <c r="G33" i="23"/>
  <c r="G44" i="23" s="1"/>
  <c r="K43" i="18"/>
  <c r="K43" i="15"/>
  <c r="I22" i="25"/>
  <c r="I59" i="25" s="1"/>
  <c r="H21" i="6" s="1"/>
  <c r="I33" i="24"/>
  <c r="I44" i="24" s="1"/>
  <c r="I59" i="24" s="1"/>
  <c r="H20" i="6" s="1"/>
  <c r="I43" i="20"/>
  <c r="I43" i="7"/>
  <c r="H43" i="27"/>
  <c r="H44" i="27" s="1"/>
  <c r="H59" i="27" s="1"/>
  <c r="G23" i="6" s="1"/>
  <c r="M261" i="28"/>
  <c r="O33" i="26"/>
  <c r="O44" i="26" s="1"/>
  <c r="O59" i="26" s="1"/>
  <c r="N22" i="6" s="1"/>
  <c r="O44" i="23"/>
  <c r="O59" i="23" s="1"/>
  <c r="N19" i="6" s="1"/>
  <c r="M59" i="27"/>
  <c r="L23" i="6" s="1"/>
  <c r="M44" i="25"/>
  <c r="M43" i="16"/>
  <c r="M44" i="16" s="1"/>
  <c r="L59" i="24"/>
  <c r="K20" i="6" s="1"/>
  <c r="L44" i="15"/>
  <c r="I92" i="28"/>
  <c r="I93" i="28"/>
  <c r="I86" i="28"/>
  <c r="I194" i="28"/>
  <c r="G43" i="17"/>
  <c r="I22" i="23"/>
  <c r="I59" i="23" s="1"/>
  <c r="H19" i="6" s="1"/>
  <c r="H43" i="24"/>
  <c r="H44" i="24" s="1"/>
  <c r="H59" i="24" s="1"/>
  <c r="G20" i="6" s="1"/>
  <c r="H43" i="22"/>
  <c r="P41" i="18"/>
  <c r="O41" i="5" s="1"/>
  <c r="P40" i="18"/>
  <c r="O41" i="18"/>
  <c r="N41" i="5" s="1"/>
  <c r="N41" i="18"/>
  <c r="M41" i="5" s="1"/>
  <c r="P36" i="18"/>
  <c r="O36" i="18"/>
  <c r="N37" i="18"/>
  <c r="O37" i="18"/>
  <c r="N37" i="5" s="1"/>
  <c r="N40" i="18"/>
  <c r="L44" i="22"/>
  <c r="I346" i="28"/>
  <c r="G30" i="21" s="1"/>
  <c r="I339" i="28"/>
  <c r="I344" i="28"/>
  <c r="I350" i="28" s="1"/>
  <c r="M22" i="24"/>
  <c r="M43" i="18"/>
  <c r="M44" i="18" s="1"/>
  <c r="J43" i="21"/>
  <c r="J44" i="21" s="1"/>
  <c r="J59" i="21" s="1"/>
  <c r="J58" i="7"/>
  <c r="J59" i="7" s="1"/>
  <c r="L58" i="27"/>
  <c r="L22" i="25"/>
  <c r="L59" i="25" s="1"/>
  <c r="K21" i="6" s="1"/>
  <c r="L59" i="16"/>
  <c r="Q20" i="8"/>
  <c r="Q15" i="8"/>
  <c r="M22" i="25"/>
  <c r="M22" i="21"/>
  <c r="M59" i="21" s="1"/>
  <c r="M43" i="20"/>
  <c r="M44" i="20" s="1"/>
  <c r="M22" i="16"/>
  <c r="M59" i="16" s="1"/>
  <c r="M33" i="15"/>
  <c r="M44" i="15" s="1"/>
  <c r="M59" i="15" s="1"/>
  <c r="J33" i="22"/>
  <c r="J44" i="22" s="1"/>
  <c r="J59" i="22" s="1"/>
  <c r="I18" i="6" s="1"/>
  <c r="J43" i="18"/>
  <c r="J44" i="18" s="1"/>
  <c r="J59" i="18" s="1"/>
  <c r="J22" i="17"/>
  <c r="J59" i="17" s="1"/>
  <c r="J44" i="15"/>
  <c r="J59" i="15" s="1"/>
  <c r="L22" i="27"/>
  <c r="L59" i="27" s="1"/>
  <c r="K23" i="6" s="1"/>
  <c r="L59" i="21"/>
  <c r="M22" i="26"/>
  <c r="M59" i="26" s="1"/>
  <c r="L22" i="6" s="1"/>
  <c r="M33" i="24"/>
  <c r="M44" i="24" s="1"/>
  <c r="M22" i="20"/>
  <c r="M22" i="18"/>
  <c r="M58" i="1"/>
  <c r="M59" i="1" s="1"/>
  <c r="L9" i="6" s="1"/>
  <c r="K22" i="8"/>
  <c r="K11" i="12" s="1"/>
  <c r="L58" i="23"/>
  <c r="L59" i="23" s="1"/>
  <c r="K19" i="6" s="1"/>
  <c r="L22" i="22"/>
  <c r="L59" i="22" s="1"/>
  <c r="K18" i="6" s="1"/>
  <c r="L22" i="17"/>
  <c r="L59" i="17" s="1"/>
  <c r="L22" i="15"/>
  <c r="Q25" i="6"/>
  <c r="Q28" i="6"/>
  <c r="Q37" i="6"/>
  <c r="Q23" i="5"/>
  <c r="Q29" i="5"/>
  <c r="I12" i="6" l="1"/>
  <c r="J62" i="16"/>
  <c r="M59" i="20"/>
  <c r="L16" i="6" s="1"/>
  <c r="L59" i="15"/>
  <c r="M59" i="25"/>
  <c r="L21" i="6" s="1"/>
  <c r="G59" i="24"/>
  <c r="F20" i="6" s="1"/>
  <c r="R20" i="6" s="1"/>
  <c r="J44" i="24"/>
  <c r="J59" i="24" s="1"/>
  <c r="I20" i="6" s="1"/>
  <c r="L59" i="7"/>
  <c r="L59" i="26"/>
  <c r="K22" i="6" s="1"/>
  <c r="I61" i="21"/>
  <c r="I334" i="28"/>
  <c r="G19" i="17"/>
  <c r="N196" i="28"/>
  <c r="K19" i="17" s="1"/>
  <c r="K21" i="17" s="1"/>
  <c r="L196" i="28"/>
  <c r="O196" i="28"/>
  <c r="N19" i="17" s="1"/>
  <c r="N21" i="17" s="1"/>
  <c r="P196" i="28"/>
  <c r="O19" i="17" s="1"/>
  <c r="O21" i="17" s="1"/>
  <c r="I208" i="28"/>
  <c r="M196" i="28"/>
  <c r="I19" i="17" s="1"/>
  <c r="I21" i="17" s="1"/>
  <c r="Q196" i="28"/>
  <c r="P19" i="17" s="1"/>
  <c r="P21" i="17" s="1"/>
  <c r="G15" i="19"/>
  <c r="G22" i="19" s="1"/>
  <c r="H13" i="19"/>
  <c r="K32" i="1"/>
  <c r="K33" i="1" s="1"/>
  <c r="K44" i="1" s="1"/>
  <c r="J77" i="22"/>
  <c r="I20" i="22" s="1"/>
  <c r="L77" i="22"/>
  <c r="M20" i="22" s="1"/>
  <c r="L20" i="5" s="1"/>
  <c r="K77" i="22"/>
  <c r="K20" i="22" s="1"/>
  <c r="G20" i="22"/>
  <c r="I46" i="28"/>
  <c r="J46" i="28" s="1"/>
  <c r="N59" i="28"/>
  <c r="K31" i="1" s="1"/>
  <c r="H14" i="7"/>
  <c r="I15" i="6"/>
  <c r="J62" i="19"/>
  <c r="L305" i="28"/>
  <c r="P310" i="28"/>
  <c r="O30" i="20" s="1"/>
  <c r="O32" i="20" s="1"/>
  <c r="O33" i="20" s="1"/>
  <c r="O44" i="20" s="1"/>
  <c r="L316" i="28"/>
  <c r="Q311" i="28"/>
  <c r="P31" i="20" s="1"/>
  <c r="N305" i="28"/>
  <c r="K20" i="20" s="1"/>
  <c r="K21" i="20" s="1"/>
  <c r="K22" i="20" s="1"/>
  <c r="Q310" i="28"/>
  <c r="P30" i="20" s="1"/>
  <c r="P32" i="20" s="1"/>
  <c r="M310" i="28"/>
  <c r="I30" i="20" s="1"/>
  <c r="Q304" i="28"/>
  <c r="P19" i="20" s="1"/>
  <c r="M304" i="28"/>
  <c r="I19" i="20" s="1"/>
  <c r="M316" i="28"/>
  <c r="I55" i="20" s="1"/>
  <c r="H55" i="20" s="1"/>
  <c r="N316" i="28"/>
  <c r="K55" i="20" s="1"/>
  <c r="M311" i="28"/>
  <c r="I31" i="20" s="1"/>
  <c r="Q305" i="28"/>
  <c r="P20" i="20" s="1"/>
  <c r="L310" i="28"/>
  <c r="N304" i="28"/>
  <c r="K19" i="20" s="1"/>
  <c r="O310" i="28"/>
  <c r="N30" i="20" s="1"/>
  <c r="N310" i="28"/>
  <c r="K30" i="20" s="1"/>
  <c r="L304" i="28"/>
  <c r="P304" i="28"/>
  <c r="O19" i="20" s="1"/>
  <c r="P316" i="28"/>
  <c r="O55" i="20" s="1"/>
  <c r="O316" i="28"/>
  <c r="N55" i="20" s="1"/>
  <c r="O304" i="28"/>
  <c r="N19" i="20" s="1"/>
  <c r="Q316" i="28"/>
  <c r="P55" i="20" s="1"/>
  <c r="H61" i="16"/>
  <c r="S12" i="28" s="1"/>
  <c r="T12" i="28" s="1"/>
  <c r="I154" i="28"/>
  <c r="I47" i="28"/>
  <c r="Q95" i="28"/>
  <c r="P31" i="7" s="1"/>
  <c r="P32" i="7" s="1"/>
  <c r="P95" i="28"/>
  <c r="O31" i="7" s="1"/>
  <c r="O32" i="7" s="1"/>
  <c r="L95" i="28"/>
  <c r="I230" i="28"/>
  <c r="I231" i="28"/>
  <c r="I237" i="28"/>
  <c r="I233" i="28"/>
  <c r="I232" i="28"/>
  <c r="I236" i="28"/>
  <c r="L311" i="28"/>
  <c r="P21" i="6"/>
  <c r="Q21" i="6" s="1"/>
  <c r="O42" i="18"/>
  <c r="N32" i="20"/>
  <c r="J59" i="20"/>
  <c r="I298" i="28"/>
  <c r="H61" i="20"/>
  <c r="S20" i="28" s="1"/>
  <c r="T20" i="28" s="1"/>
  <c r="K76" i="22"/>
  <c r="K19" i="22" s="1"/>
  <c r="K21" i="22" s="1"/>
  <c r="G19" i="22"/>
  <c r="G21" i="22" s="1"/>
  <c r="J76" i="22"/>
  <c r="L76" i="22"/>
  <c r="M19" i="22" s="1"/>
  <c r="H88" i="22"/>
  <c r="O53" i="28"/>
  <c r="N20" i="1" s="1"/>
  <c r="P53" i="28"/>
  <c r="O20" i="1" s="1"/>
  <c r="G20" i="1"/>
  <c r="G21" i="1" s="1"/>
  <c r="M53" i="28"/>
  <c r="I20" i="1" s="1"/>
  <c r="H20" i="1" s="1"/>
  <c r="I100" i="28"/>
  <c r="P88" i="28"/>
  <c r="O19" i="7" s="1"/>
  <c r="Q88" i="28"/>
  <c r="P19" i="7" s="1"/>
  <c r="P21" i="7" s="1"/>
  <c r="N88" i="28"/>
  <c r="K19" i="7" s="1"/>
  <c r="K21" i="7" s="1"/>
  <c r="M88" i="28"/>
  <c r="I19" i="7" s="1"/>
  <c r="I21" i="7" s="1"/>
  <c r="G19" i="7"/>
  <c r="L88" i="28"/>
  <c r="P41" i="5"/>
  <c r="Q41" i="5" s="1"/>
  <c r="G26" i="21"/>
  <c r="G28" i="21" s="1"/>
  <c r="G33" i="21" s="1"/>
  <c r="G44" i="21" s="1"/>
  <c r="J59" i="23"/>
  <c r="I19" i="6" s="1"/>
  <c r="H169" i="28"/>
  <c r="H175" i="28" s="1"/>
  <c r="H176" i="28"/>
  <c r="P44" i="27"/>
  <c r="P59" i="27" s="1"/>
  <c r="O23" i="6" s="1"/>
  <c r="H133" i="28"/>
  <c r="H139" i="28" s="1"/>
  <c r="H140" i="28"/>
  <c r="L10" i="6"/>
  <c r="M62" i="7"/>
  <c r="J297" i="28"/>
  <c r="G61" i="20" s="1"/>
  <c r="K59" i="23"/>
  <c r="J19" i="6" s="1"/>
  <c r="P19" i="6" s="1"/>
  <c r="Q19" i="6" s="1"/>
  <c r="L75" i="22"/>
  <c r="M14" i="22" s="1"/>
  <c r="L14" i="5" s="1"/>
  <c r="J75" i="22"/>
  <c r="I14" i="22" s="1"/>
  <c r="G14" i="22"/>
  <c r="K75" i="22"/>
  <c r="K14" i="22" s="1"/>
  <c r="M75" i="22"/>
  <c r="N207" i="28"/>
  <c r="K50" i="17" s="1"/>
  <c r="L207" i="28"/>
  <c r="O207" i="28"/>
  <c r="N50" i="17" s="1"/>
  <c r="G30" i="22"/>
  <c r="K82" i="22"/>
  <c r="K30" i="22" s="1"/>
  <c r="K32" i="22" s="1"/>
  <c r="K33" i="22" s="1"/>
  <c r="K44" i="22" s="1"/>
  <c r="L82" i="22"/>
  <c r="M30" i="22" s="1"/>
  <c r="J82" i="22"/>
  <c r="I30" i="22" s="1"/>
  <c r="I32" i="22" s="1"/>
  <c r="P52" i="28"/>
  <c r="O19" i="1" s="1"/>
  <c r="O21" i="1" s="1"/>
  <c r="M52" i="28"/>
  <c r="I19" i="1" s="1"/>
  <c r="J45" i="28"/>
  <c r="G61" i="1" s="1"/>
  <c r="N52" i="28"/>
  <c r="K19" i="1" s="1"/>
  <c r="L52" i="28"/>
  <c r="O58" i="28"/>
  <c r="N30" i="1" s="1"/>
  <c r="Q52" i="28"/>
  <c r="P19" i="1" s="1"/>
  <c r="P21" i="1" s="1"/>
  <c r="Q58" i="28"/>
  <c r="P30" i="1" s="1"/>
  <c r="P32" i="1" s="1"/>
  <c r="M58" i="28"/>
  <c r="I30" i="1" s="1"/>
  <c r="O52" i="28"/>
  <c r="N19" i="1" s="1"/>
  <c r="P64" i="28"/>
  <c r="O55" i="1" s="1"/>
  <c r="O64" i="28"/>
  <c r="N55" i="1" s="1"/>
  <c r="O59" i="28"/>
  <c r="N31" i="1" s="1"/>
  <c r="N64" i="28"/>
  <c r="K55" i="1" s="1"/>
  <c r="I17" i="6"/>
  <c r="J62" i="21"/>
  <c r="G32" i="21"/>
  <c r="I14" i="6"/>
  <c r="J62" i="18"/>
  <c r="J62" i="7"/>
  <c r="I10" i="6"/>
  <c r="P350" i="28"/>
  <c r="O49" i="21" s="1"/>
  <c r="L350" i="28"/>
  <c r="M350" i="28"/>
  <c r="I49" i="21" s="1"/>
  <c r="O350" i="28"/>
  <c r="N49" i="21" s="1"/>
  <c r="Q350" i="28"/>
  <c r="P49" i="21" s="1"/>
  <c r="N350" i="28"/>
  <c r="K49" i="21" s="1"/>
  <c r="G49" i="21"/>
  <c r="M62" i="20"/>
  <c r="M62" i="21"/>
  <c r="L17" i="6"/>
  <c r="K12" i="6"/>
  <c r="L62" i="16"/>
  <c r="N339" i="28"/>
  <c r="K14" i="21" s="1"/>
  <c r="G14" i="21"/>
  <c r="P339" i="28"/>
  <c r="M339" i="28"/>
  <c r="O339" i="28"/>
  <c r="Q339" i="28"/>
  <c r="P14" i="21" s="1"/>
  <c r="L339" i="28"/>
  <c r="I351" i="28"/>
  <c r="O38" i="18"/>
  <c r="O43" i="18" s="1"/>
  <c r="N36" i="5"/>
  <c r="O40" i="5"/>
  <c r="O42" i="5" s="1"/>
  <c r="P42" i="18"/>
  <c r="I98" i="28"/>
  <c r="P86" i="28"/>
  <c r="N86" i="28"/>
  <c r="Q86" i="28"/>
  <c r="L86" i="28"/>
  <c r="O86" i="28"/>
  <c r="G13" i="7"/>
  <c r="M86" i="28"/>
  <c r="K13" i="10"/>
  <c r="H31" i="1"/>
  <c r="H61" i="15"/>
  <c r="S10" i="28" s="1"/>
  <c r="T10" i="28" s="1"/>
  <c r="I118" i="28"/>
  <c r="O14" i="1"/>
  <c r="I27" i="22"/>
  <c r="M81" i="22"/>
  <c r="O28" i="1"/>
  <c r="O33" i="1" s="1"/>
  <c r="O44" i="1" s="1"/>
  <c r="G32" i="7"/>
  <c r="H31" i="7"/>
  <c r="H32" i="7" s="1"/>
  <c r="H27" i="1"/>
  <c r="G47" i="6"/>
  <c r="H48" i="6"/>
  <c r="H52" i="6" s="1"/>
  <c r="H53" i="6" s="1"/>
  <c r="O20" i="20"/>
  <c r="O21" i="20" s="1"/>
  <c r="G28" i="20"/>
  <c r="G33" i="20" s="1"/>
  <c r="G44" i="20" s="1"/>
  <c r="P14" i="19"/>
  <c r="P15" i="19" s="1"/>
  <c r="P22" i="19" s="1"/>
  <c r="I13" i="22"/>
  <c r="L19" i="5"/>
  <c r="L21" i="5" s="1"/>
  <c r="M21" i="22"/>
  <c r="H55" i="19"/>
  <c r="O30" i="19"/>
  <c r="O32" i="19" s="1"/>
  <c r="O33" i="19" s="1"/>
  <c r="O44" i="19" s="1"/>
  <c r="O22" i="20"/>
  <c r="L62" i="15"/>
  <c r="K11" i="6"/>
  <c r="N42" i="18"/>
  <c r="M40" i="5"/>
  <c r="P38" i="18"/>
  <c r="P43" i="18" s="1"/>
  <c r="O36" i="5"/>
  <c r="O38" i="5" s="1"/>
  <c r="N93" i="28"/>
  <c r="K27" i="7" s="1"/>
  <c r="P93" i="28"/>
  <c r="O27" i="7" s="1"/>
  <c r="M93" i="28"/>
  <c r="I27" i="7" s="1"/>
  <c r="O93" i="28"/>
  <c r="N27" i="7" s="1"/>
  <c r="G27" i="7"/>
  <c r="Q93" i="28"/>
  <c r="P27" i="7" s="1"/>
  <c r="L93" i="28"/>
  <c r="I262" i="28"/>
  <c r="I61" i="19"/>
  <c r="G59" i="23"/>
  <c r="F19" i="6" s="1"/>
  <c r="R19" i="6" s="1"/>
  <c r="L13" i="6"/>
  <c r="M62" i="17"/>
  <c r="P238" i="28"/>
  <c r="O30" i="18" s="1"/>
  <c r="M238" i="28"/>
  <c r="I30" i="18" s="1"/>
  <c r="G30" i="18"/>
  <c r="Q238" i="28"/>
  <c r="P30" i="18" s="1"/>
  <c r="L238" i="28"/>
  <c r="O238" i="28"/>
  <c r="N30" i="18" s="1"/>
  <c r="N238" i="28"/>
  <c r="K30" i="18" s="1"/>
  <c r="I244" i="28"/>
  <c r="H55" i="1"/>
  <c r="N21" i="7"/>
  <c r="H27" i="17"/>
  <c r="G28" i="17"/>
  <c r="G33" i="17" s="1"/>
  <c r="G44" i="17" s="1"/>
  <c r="K13" i="21"/>
  <c r="G15" i="1"/>
  <c r="G22" i="1" s="1"/>
  <c r="I26" i="1"/>
  <c r="G28" i="1"/>
  <c r="G33" i="1" s="1"/>
  <c r="G44" i="1" s="1"/>
  <c r="K32" i="7"/>
  <c r="J48" i="6"/>
  <c r="J52" i="6" s="1"/>
  <c r="J53" i="6" s="1"/>
  <c r="N20" i="20"/>
  <c r="P27" i="20"/>
  <c r="P28" i="20" s="1"/>
  <c r="I14" i="19"/>
  <c r="L86" i="22"/>
  <c r="M49" i="22" s="1"/>
  <c r="J86" i="22"/>
  <c r="I49" i="22" s="1"/>
  <c r="G49" i="22"/>
  <c r="K86" i="22"/>
  <c r="K49" i="22" s="1"/>
  <c r="M13" i="22"/>
  <c r="G56" i="22"/>
  <c r="K89" i="22"/>
  <c r="K56" i="22" s="1"/>
  <c r="J89" i="22"/>
  <c r="I56" i="22" s="1"/>
  <c r="L89" i="22"/>
  <c r="M56" i="22" s="1"/>
  <c r="L11" i="6"/>
  <c r="M62" i="15"/>
  <c r="G26" i="7"/>
  <c r="M92" i="28"/>
  <c r="I26" i="7" s="1"/>
  <c r="I28" i="7" s="1"/>
  <c r="I33" i="7" s="1"/>
  <c r="I44" i="7" s="1"/>
  <c r="P92" i="28"/>
  <c r="O26" i="7" s="1"/>
  <c r="O28" i="7" s="1"/>
  <c r="O33" i="7" s="1"/>
  <c r="O44" i="7" s="1"/>
  <c r="Q92" i="28"/>
  <c r="P26" i="7" s="1"/>
  <c r="N92" i="28"/>
  <c r="K26" i="7" s="1"/>
  <c r="L92" i="28"/>
  <c r="O92" i="28"/>
  <c r="N26" i="7" s="1"/>
  <c r="N28" i="7" s="1"/>
  <c r="N33" i="7" s="1"/>
  <c r="N44" i="7" s="1"/>
  <c r="I82" i="28"/>
  <c r="H61" i="7"/>
  <c r="S8" i="28" s="1"/>
  <c r="P239" i="28"/>
  <c r="O31" i="18" s="1"/>
  <c r="N239" i="28"/>
  <c r="K31" i="18" s="1"/>
  <c r="G31" i="18"/>
  <c r="M239" i="28"/>
  <c r="I31" i="18" s="1"/>
  <c r="L239" i="28"/>
  <c r="Q239" i="28"/>
  <c r="P31" i="18" s="1"/>
  <c r="O239" i="28"/>
  <c r="N31" i="18" s="1"/>
  <c r="I226" i="28"/>
  <c r="H61" i="18"/>
  <c r="S16" i="28" s="1"/>
  <c r="T16" i="28" s="1"/>
  <c r="Q281" i="28"/>
  <c r="M56" i="19" s="1"/>
  <c r="N281" i="28"/>
  <c r="K56" i="19" s="1"/>
  <c r="K57" i="19" s="1"/>
  <c r="M281" i="28"/>
  <c r="I56" i="19" s="1"/>
  <c r="I57" i="19" s="1"/>
  <c r="L281" i="28"/>
  <c r="O281" i="28"/>
  <c r="N56" i="19" s="1"/>
  <c r="N57" i="19" s="1"/>
  <c r="P281" i="28"/>
  <c r="O56" i="19" s="1"/>
  <c r="O57" i="19" s="1"/>
  <c r="G56" i="19"/>
  <c r="P22" i="6"/>
  <c r="Q22" i="6" s="1"/>
  <c r="G21" i="7"/>
  <c r="H20" i="7"/>
  <c r="P13" i="21"/>
  <c r="P209" i="28"/>
  <c r="O56" i="17" s="1"/>
  <c r="G56" i="17"/>
  <c r="N209" i="28"/>
  <c r="K56" i="17" s="1"/>
  <c r="Q209" i="28"/>
  <c r="P56" i="17" s="1"/>
  <c r="M209" i="28"/>
  <c r="I56" i="17" s="1"/>
  <c r="L209" i="28"/>
  <c r="O209" i="28"/>
  <c r="N56" i="17" s="1"/>
  <c r="O63" i="28"/>
  <c r="N50" i="1" s="1"/>
  <c r="M63" i="28"/>
  <c r="I50" i="1" s="1"/>
  <c r="N63" i="28"/>
  <c r="K50" i="1" s="1"/>
  <c r="P63" i="28"/>
  <c r="O50" i="1" s="1"/>
  <c r="G50" i="1"/>
  <c r="L63" i="28"/>
  <c r="Q63" i="28"/>
  <c r="P50" i="1" s="1"/>
  <c r="O65" i="28"/>
  <c r="N56" i="1" s="1"/>
  <c r="L65" i="28"/>
  <c r="G56" i="1"/>
  <c r="Q65" i="28"/>
  <c r="P56" i="1" s="1"/>
  <c r="P57" i="1" s="1"/>
  <c r="P65" i="28"/>
  <c r="O56" i="1" s="1"/>
  <c r="N65" i="28"/>
  <c r="K56" i="1" s="1"/>
  <c r="M65" i="28"/>
  <c r="I56" i="1" s="1"/>
  <c r="Q62" i="28"/>
  <c r="P49" i="1" s="1"/>
  <c r="O62" i="28"/>
  <c r="N49" i="1" s="1"/>
  <c r="L62" i="28"/>
  <c r="N62" i="28"/>
  <c r="K49" i="1" s="1"/>
  <c r="G49" i="1"/>
  <c r="I67" i="28"/>
  <c r="I68" i="28" s="1"/>
  <c r="M62" i="28"/>
  <c r="I49" i="1" s="1"/>
  <c r="P62" i="28"/>
  <c r="O49" i="1" s="1"/>
  <c r="P28" i="1"/>
  <c r="H19" i="21"/>
  <c r="H21" i="21" s="1"/>
  <c r="P15" i="1"/>
  <c r="I20" i="20"/>
  <c r="G21" i="17"/>
  <c r="I32" i="1"/>
  <c r="N33" i="20"/>
  <c r="N44" i="20" s="1"/>
  <c r="N14" i="19"/>
  <c r="N15" i="19" s="1"/>
  <c r="N22" i="19" s="1"/>
  <c r="M74" i="22"/>
  <c r="G32" i="19"/>
  <c r="G33" i="19" s="1"/>
  <c r="G44" i="19" s="1"/>
  <c r="H30" i="19"/>
  <c r="H32" i="19" s="1"/>
  <c r="J62" i="15"/>
  <c r="I11" i="6"/>
  <c r="Q346" i="28"/>
  <c r="P30" i="21" s="1"/>
  <c r="P32" i="21" s="1"/>
  <c r="O346" i="28"/>
  <c r="N30" i="21" s="1"/>
  <c r="N32" i="21" s="1"/>
  <c r="L346" i="28"/>
  <c r="M346" i="28"/>
  <c r="I30" i="21" s="1"/>
  <c r="I32" i="21" s="1"/>
  <c r="N346" i="28"/>
  <c r="K30" i="21" s="1"/>
  <c r="K32" i="21" s="1"/>
  <c r="P346" i="28"/>
  <c r="O30" i="21" s="1"/>
  <c r="O32" i="21" s="1"/>
  <c r="K13" i="6"/>
  <c r="L62" i="17"/>
  <c r="I13" i="6"/>
  <c r="J62" i="17"/>
  <c r="L12" i="6"/>
  <c r="M62" i="16"/>
  <c r="M59" i="24"/>
  <c r="L20" i="6" s="1"/>
  <c r="K14" i="6"/>
  <c r="L62" i="18"/>
  <c r="P23" i="6"/>
  <c r="Q23" i="6" s="1"/>
  <c r="M59" i="18"/>
  <c r="K17" i="6"/>
  <c r="L62" i="21"/>
  <c r="Q344" i="28"/>
  <c r="P26" i="21" s="1"/>
  <c r="P28" i="21" s="1"/>
  <c r="P33" i="21" s="1"/>
  <c r="P44" i="21" s="1"/>
  <c r="N344" i="28"/>
  <c r="K26" i="21" s="1"/>
  <c r="K28" i="21" s="1"/>
  <c r="K33" i="21" s="1"/>
  <c r="K44" i="21" s="1"/>
  <c r="M344" i="28"/>
  <c r="I26" i="21" s="1"/>
  <c r="I28" i="21" s="1"/>
  <c r="P344" i="28"/>
  <c r="O26" i="21" s="1"/>
  <c r="O28" i="21" s="1"/>
  <c r="O33" i="21" s="1"/>
  <c r="O44" i="21" s="1"/>
  <c r="O344" i="28"/>
  <c r="N26" i="21" s="1"/>
  <c r="N28" i="21" s="1"/>
  <c r="L344" i="28"/>
  <c r="M37" i="5"/>
  <c r="N38" i="18"/>
  <c r="N43" i="18" s="1"/>
  <c r="P194" i="28"/>
  <c r="M194" i="28"/>
  <c r="I206" i="28"/>
  <c r="I211" i="28" s="1"/>
  <c r="I212" i="28" s="1"/>
  <c r="Q194" i="28"/>
  <c r="N194" i="28"/>
  <c r="O194" i="28"/>
  <c r="G13" i="17"/>
  <c r="L194" i="28"/>
  <c r="K20" i="19"/>
  <c r="N42" i="5"/>
  <c r="K59" i="5"/>
  <c r="I352" i="28"/>
  <c r="O21" i="7"/>
  <c r="K14" i="1"/>
  <c r="H14" i="1" s="1"/>
  <c r="N67" i="28"/>
  <c r="N68" i="28" s="1"/>
  <c r="K87" i="22"/>
  <c r="K50" i="22" s="1"/>
  <c r="J87" i="22"/>
  <c r="I50" i="22" s="1"/>
  <c r="G50" i="22"/>
  <c r="L87" i="22"/>
  <c r="M50" i="22" s="1"/>
  <c r="L50" i="5" s="1"/>
  <c r="H28" i="17"/>
  <c r="H33" i="17" s="1"/>
  <c r="H44" i="17" s="1"/>
  <c r="N26" i="1"/>
  <c r="O67" i="28"/>
  <c r="O68" i="28" s="1"/>
  <c r="O101" i="28"/>
  <c r="N56" i="7" s="1"/>
  <c r="N101" i="28"/>
  <c r="K56" i="7" s="1"/>
  <c r="L101" i="28"/>
  <c r="G56" i="7"/>
  <c r="Q101" i="28"/>
  <c r="P56" i="7" s="1"/>
  <c r="P101" i="28"/>
  <c r="O56" i="7" s="1"/>
  <c r="M101" i="28"/>
  <c r="I56" i="7" s="1"/>
  <c r="I99" i="28"/>
  <c r="H13" i="1"/>
  <c r="G11" i="12"/>
  <c r="P22" i="8"/>
  <c r="Q22" i="8" s="1"/>
  <c r="S24" i="28"/>
  <c r="T24" i="28" s="1"/>
  <c r="P317" i="28"/>
  <c r="O56" i="20" s="1"/>
  <c r="O57" i="20" s="1"/>
  <c r="O58" i="20" s="1"/>
  <c r="O317" i="28"/>
  <c r="N56" i="20" s="1"/>
  <c r="N57" i="20" s="1"/>
  <c r="N58" i="20" s="1"/>
  <c r="I319" i="28"/>
  <c r="I320" i="28" s="1"/>
  <c r="M317" i="28"/>
  <c r="I56" i="20" s="1"/>
  <c r="N317" i="28"/>
  <c r="K56" i="20" s="1"/>
  <c r="K57" i="20" s="1"/>
  <c r="K58" i="20" s="1"/>
  <c r="L317" i="28"/>
  <c r="L319" i="28" s="1"/>
  <c r="L320" i="28" s="1"/>
  <c r="G56" i="20"/>
  <c r="Q317" i="28"/>
  <c r="P56" i="20" s="1"/>
  <c r="P57" i="20" s="1"/>
  <c r="P58" i="20" s="1"/>
  <c r="K31" i="20"/>
  <c r="N319" i="28"/>
  <c r="N320" i="28" s="1"/>
  <c r="Q279" i="28"/>
  <c r="P50" i="19" s="1"/>
  <c r="P51" i="19" s="1"/>
  <c r="N279" i="28"/>
  <c r="K50" i="19" s="1"/>
  <c r="K51" i="19" s="1"/>
  <c r="M279" i="28"/>
  <c r="I50" i="19" s="1"/>
  <c r="I51" i="19" s="1"/>
  <c r="G50" i="19"/>
  <c r="G51" i="19" s="1"/>
  <c r="O279" i="28"/>
  <c r="N50" i="19" s="1"/>
  <c r="N51" i="19" s="1"/>
  <c r="I283" i="28"/>
  <c r="I284" i="28" s="1"/>
  <c r="P279" i="28"/>
  <c r="O50" i="19" s="1"/>
  <c r="O51" i="19" s="1"/>
  <c r="L279" i="28"/>
  <c r="K13" i="22"/>
  <c r="K15" i="22" s="1"/>
  <c r="K22" i="22" s="1"/>
  <c r="M83" i="22"/>
  <c r="H33" i="19"/>
  <c r="H44" i="19" s="1"/>
  <c r="L30" i="5" l="1"/>
  <c r="L32" i="5" s="1"/>
  <c r="L33" i="5" s="1"/>
  <c r="L44" i="5" s="1"/>
  <c r="M32" i="22"/>
  <c r="M33" i="22" s="1"/>
  <c r="M44" i="22" s="1"/>
  <c r="P100" i="28"/>
  <c r="O55" i="7" s="1"/>
  <c r="G55" i="7"/>
  <c r="M100" i="28"/>
  <c r="I55" i="7" s="1"/>
  <c r="Q100" i="28"/>
  <c r="P55" i="7" s="1"/>
  <c r="O100" i="28"/>
  <c r="N55" i="7" s="1"/>
  <c r="N100" i="28"/>
  <c r="K55" i="7" s="1"/>
  <c r="L100" i="28"/>
  <c r="I16" i="6"/>
  <c r="J62" i="20"/>
  <c r="P233" i="28"/>
  <c r="O20" i="18" s="1"/>
  <c r="Q233" i="28"/>
  <c r="P20" i="18" s="1"/>
  <c r="O233" i="28"/>
  <c r="N20" i="18" s="1"/>
  <c r="G20" i="18"/>
  <c r="L233" i="28"/>
  <c r="M233" i="28"/>
  <c r="I20" i="18" s="1"/>
  <c r="N233" i="28"/>
  <c r="K20" i="18" s="1"/>
  <c r="H20" i="22"/>
  <c r="O57" i="7"/>
  <c r="P33" i="20"/>
  <c r="P44" i="20" s="1"/>
  <c r="H19" i="7"/>
  <c r="J88" i="22"/>
  <c r="I55" i="22" s="1"/>
  <c r="I57" i="22" s="1"/>
  <c r="I58" i="22" s="1"/>
  <c r="G55" i="22"/>
  <c r="K88" i="22"/>
  <c r="K55" i="22" s="1"/>
  <c r="K57" i="22" s="1"/>
  <c r="L88" i="22"/>
  <c r="M55" i="22" s="1"/>
  <c r="J154" i="28"/>
  <c r="I155" i="28"/>
  <c r="I245" i="28"/>
  <c r="K91" i="22"/>
  <c r="K92" i="22" s="1"/>
  <c r="I57" i="20"/>
  <c r="I58" i="20" s="1"/>
  <c r="P57" i="7"/>
  <c r="N57" i="7"/>
  <c r="I33" i="21"/>
  <c r="I44" i="21" s="1"/>
  <c r="K57" i="17"/>
  <c r="P15" i="21"/>
  <c r="P22" i="21" s="1"/>
  <c r="K21" i="1"/>
  <c r="N21" i="20"/>
  <c r="N22" i="20" s="1"/>
  <c r="O43" i="5"/>
  <c r="N21" i="1"/>
  <c r="N22" i="1" s="1"/>
  <c r="N32" i="1"/>
  <c r="I21" i="1"/>
  <c r="I22" i="1" s="1"/>
  <c r="H19" i="1"/>
  <c r="H21" i="1" s="1"/>
  <c r="M82" i="22"/>
  <c r="H14" i="22"/>
  <c r="G15" i="22"/>
  <c r="G22" i="22" s="1"/>
  <c r="I124" i="28"/>
  <c r="I130" i="28"/>
  <c r="I125" i="28"/>
  <c r="I128" i="28"/>
  <c r="I131" i="28"/>
  <c r="I129" i="28"/>
  <c r="I123" i="28"/>
  <c r="I122" i="28"/>
  <c r="Q236" i="28"/>
  <c r="P26" i="18" s="1"/>
  <c r="P236" i="28"/>
  <c r="O26" i="18" s="1"/>
  <c r="N236" i="28"/>
  <c r="K26" i="18" s="1"/>
  <c r="M236" i="28"/>
  <c r="I26" i="18" s="1"/>
  <c r="L236" i="28"/>
  <c r="O236" i="28"/>
  <c r="N26" i="18" s="1"/>
  <c r="G26" i="18"/>
  <c r="L231" i="28"/>
  <c r="P231" i="28"/>
  <c r="O14" i="18" s="1"/>
  <c r="M231" i="28"/>
  <c r="I14" i="18" s="1"/>
  <c r="G14" i="18"/>
  <c r="Q231" i="28"/>
  <c r="P14" i="18" s="1"/>
  <c r="O231" i="28"/>
  <c r="N14" i="18" s="1"/>
  <c r="H14" i="18" s="1"/>
  <c r="I243" i="28"/>
  <c r="N231" i="28"/>
  <c r="K14" i="18" s="1"/>
  <c r="P21" i="20"/>
  <c r="P22" i="20" s="1"/>
  <c r="M77" i="22"/>
  <c r="G55" i="17"/>
  <c r="N208" i="28"/>
  <c r="K55" i="17" s="1"/>
  <c r="L208" i="28"/>
  <c r="M208" i="28"/>
  <c r="I55" i="17" s="1"/>
  <c r="I57" i="17" s="1"/>
  <c r="P208" i="28"/>
  <c r="O55" i="17" s="1"/>
  <c r="Q208" i="28"/>
  <c r="P55" i="17" s="1"/>
  <c r="P57" i="17" s="1"/>
  <c r="P58" i="17" s="1"/>
  <c r="O208" i="28"/>
  <c r="N55" i="17" s="1"/>
  <c r="N57" i="17" s="1"/>
  <c r="I57" i="7"/>
  <c r="O57" i="17"/>
  <c r="H30" i="22"/>
  <c r="H32" i="22" s="1"/>
  <c r="G32" i="22"/>
  <c r="G33" i="22" s="1"/>
  <c r="G44" i="22" s="1"/>
  <c r="I335" i="28"/>
  <c r="J334" i="28"/>
  <c r="K57" i="7"/>
  <c r="L67" i="28"/>
  <c r="L68" i="28" s="1"/>
  <c r="I158" i="28"/>
  <c r="I166" i="28"/>
  <c r="I165" i="28"/>
  <c r="I164" i="28"/>
  <c r="I167" i="28"/>
  <c r="I160" i="28"/>
  <c r="I159" i="28"/>
  <c r="I161" i="28"/>
  <c r="G27" i="18"/>
  <c r="L237" i="28"/>
  <c r="N237" i="28"/>
  <c r="K27" i="18" s="1"/>
  <c r="K28" i="18" s="1"/>
  <c r="P237" i="28"/>
  <c r="O27" i="18" s="1"/>
  <c r="O28" i="18" s="1"/>
  <c r="Q237" i="28"/>
  <c r="P27" i="18" s="1"/>
  <c r="O237" i="28"/>
  <c r="N27" i="18" s="1"/>
  <c r="M237" i="28"/>
  <c r="I27" i="18" s="1"/>
  <c r="H19" i="20"/>
  <c r="L283" i="28"/>
  <c r="L284" i="28" s="1"/>
  <c r="P20" i="6"/>
  <c r="Q20" i="6" s="1"/>
  <c r="M88" i="22"/>
  <c r="P33" i="1"/>
  <c r="P44" i="1" s="1"/>
  <c r="O58" i="19"/>
  <c r="H30" i="1"/>
  <c r="I19" i="22"/>
  <c r="M76" i="22"/>
  <c r="J298" i="28"/>
  <c r="I299" i="28"/>
  <c r="O232" i="28"/>
  <c r="N19" i="18" s="1"/>
  <c r="M232" i="28"/>
  <c r="I19" i="18" s="1"/>
  <c r="L232" i="28"/>
  <c r="P232" i="28"/>
  <c r="O19" i="18" s="1"/>
  <c r="O21" i="18" s="1"/>
  <c r="G19" i="18"/>
  <c r="G21" i="18" s="1"/>
  <c r="N232" i="28"/>
  <c r="K19" i="18" s="1"/>
  <c r="Q232" i="28"/>
  <c r="P19" i="18" s="1"/>
  <c r="P230" i="28"/>
  <c r="O13" i="18" s="1"/>
  <c r="G13" i="18"/>
  <c r="O230" i="28"/>
  <c r="N13" i="18" s="1"/>
  <c r="L230" i="28"/>
  <c r="M230" i="28"/>
  <c r="I13" i="18" s="1"/>
  <c r="I15" i="18" s="1"/>
  <c r="Q230" i="28"/>
  <c r="P13" i="18" s="1"/>
  <c r="P15" i="18" s="1"/>
  <c r="N230" i="28"/>
  <c r="K13" i="18" s="1"/>
  <c r="I242" i="28"/>
  <c r="H30" i="20"/>
  <c r="I32" i="20"/>
  <c r="I33" i="20" s="1"/>
  <c r="I44" i="20" s="1"/>
  <c r="H91" i="22"/>
  <c r="H92" i="22" s="1"/>
  <c r="H19" i="17"/>
  <c r="H21" i="17" s="1"/>
  <c r="L62" i="7"/>
  <c r="K10" i="6"/>
  <c r="K34" i="6" s="1"/>
  <c r="K54" i="6" s="1"/>
  <c r="K10" i="12" s="1"/>
  <c r="K14" i="12" s="1"/>
  <c r="K32" i="20"/>
  <c r="K33" i="20" s="1"/>
  <c r="K44" i="20" s="1"/>
  <c r="K59" i="20" s="1"/>
  <c r="H31" i="20"/>
  <c r="H32" i="20" s="1"/>
  <c r="P11" i="12"/>
  <c r="Q11" i="12" s="1"/>
  <c r="H14" i="10"/>
  <c r="H17" i="10" s="1"/>
  <c r="G55" i="21"/>
  <c r="N352" i="28"/>
  <c r="K55" i="21" s="1"/>
  <c r="K57" i="21" s="1"/>
  <c r="L352" i="28"/>
  <c r="P352" i="28"/>
  <c r="O55" i="21" s="1"/>
  <c r="O57" i="21" s="1"/>
  <c r="M352" i="28"/>
  <c r="I55" i="21" s="1"/>
  <c r="I57" i="21" s="1"/>
  <c r="O352" i="28"/>
  <c r="N55" i="21" s="1"/>
  <c r="N57" i="21" s="1"/>
  <c r="Q352" i="28"/>
  <c r="P55" i="21" s="1"/>
  <c r="P57" i="21" s="1"/>
  <c r="N283" i="28"/>
  <c r="N284" i="28" s="1"/>
  <c r="K13" i="17"/>
  <c r="K15" i="17" s="1"/>
  <c r="K22" i="17" s="1"/>
  <c r="O13" i="17"/>
  <c r="O15" i="17" s="1"/>
  <c r="O22" i="17" s="1"/>
  <c r="N33" i="21"/>
  <c r="N44" i="21" s="1"/>
  <c r="M319" i="28"/>
  <c r="M320" i="28" s="1"/>
  <c r="I51" i="1"/>
  <c r="I57" i="1"/>
  <c r="I58" i="1" s="1"/>
  <c r="G57" i="1"/>
  <c r="H56" i="1"/>
  <c r="G57" i="19"/>
  <c r="G58" i="19" s="1"/>
  <c r="I58" i="19"/>
  <c r="L13" i="5"/>
  <c r="L15" i="5" s="1"/>
  <c r="L22" i="5" s="1"/>
  <c r="M15" i="22"/>
  <c r="M22" i="22" s="1"/>
  <c r="I51" i="22"/>
  <c r="Q319" i="28"/>
  <c r="Q320" i="28" s="1"/>
  <c r="I28" i="1"/>
  <c r="I33" i="1" s="1"/>
  <c r="I44" i="1" s="1"/>
  <c r="H57" i="1"/>
  <c r="Q244" i="28"/>
  <c r="P55" i="18" s="1"/>
  <c r="O244" i="28"/>
  <c r="N55" i="18" s="1"/>
  <c r="N244" i="28"/>
  <c r="K55" i="18" s="1"/>
  <c r="M244" i="28"/>
  <c r="I55" i="18" s="1"/>
  <c r="P244" i="28"/>
  <c r="O55" i="18" s="1"/>
  <c r="L244" i="28"/>
  <c r="G55" i="18"/>
  <c r="P32" i="18"/>
  <c r="H27" i="7"/>
  <c r="J91" i="22"/>
  <c r="J92" i="22" s="1"/>
  <c r="H27" i="20"/>
  <c r="H28" i="20" s="1"/>
  <c r="N13" i="7"/>
  <c r="O13" i="7"/>
  <c r="N38" i="5"/>
  <c r="N43" i="5" s="1"/>
  <c r="P36" i="5"/>
  <c r="Q36" i="5" s="1"/>
  <c r="O14" i="21"/>
  <c r="O15" i="21" s="1"/>
  <c r="O22" i="21" s="1"/>
  <c r="M99" i="28"/>
  <c r="I50" i="7" s="1"/>
  <c r="P99" i="28"/>
  <c r="O50" i="7" s="1"/>
  <c r="G50" i="7"/>
  <c r="O99" i="28"/>
  <c r="N50" i="7" s="1"/>
  <c r="N99" i="28"/>
  <c r="K50" i="7" s="1"/>
  <c r="L99" i="28"/>
  <c r="Q99" i="28"/>
  <c r="P50" i="7" s="1"/>
  <c r="N28" i="1"/>
  <c r="N33" i="1" s="1"/>
  <c r="N44" i="1" s="1"/>
  <c r="H50" i="22"/>
  <c r="H20" i="19"/>
  <c r="H21" i="19" s="1"/>
  <c r="K21" i="19"/>
  <c r="K22" i="19" s="1"/>
  <c r="P13" i="17"/>
  <c r="P15" i="17" s="1"/>
  <c r="P22" i="17" s="1"/>
  <c r="H20" i="20"/>
  <c r="H21" i="20" s="1"/>
  <c r="H22" i="20" s="1"/>
  <c r="I21" i="20"/>
  <c r="I22" i="20" s="1"/>
  <c r="P22" i="1"/>
  <c r="N51" i="1"/>
  <c r="K57" i="1"/>
  <c r="H50" i="1"/>
  <c r="H56" i="17"/>
  <c r="G57" i="17"/>
  <c r="K58" i="19"/>
  <c r="J226" i="28"/>
  <c r="I227" i="28"/>
  <c r="G57" i="22"/>
  <c r="H56" i="22"/>
  <c r="K51" i="22"/>
  <c r="M51" i="22"/>
  <c r="L49" i="5"/>
  <c r="L51" i="5" s="1"/>
  <c r="P59" i="20"/>
  <c r="Q67" i="28"/>
  <c r="Q68" i="28" s="1"/>
  <c r="K15" i="21"/>
  <c r="K22" i="21" s="1"/>
  <c r="H13" i="21"/>
  <c r="K32" i="18"/>
  <c r="K33" i="18" s="1"/>
  <c r="K44" i="18" s="1"/>
  <c r="G32" i="18"/>
  <c r="H30" i="18"/>
  <c r="I263" i="28"/>
  <c r="J262" i="28"/>
  <c r="P283" i="28"/>
  <c r="P284" i="28" s="1"/>
  <c r="I15" i="22"/>
  <c r="H13" i="22"/>
  <c r="H15" i="22" s="1"/>
  <c r="G48" i="6"/>
  <c r="P48" i="6" s="1"/>
  <c r="Q48" i="6" s="1"/>
  <c r="P67" i="28"/>
  <c r="P68" i="28" s="1"/>
  <c r="H32" i="1"/>
  <c r="I13" i="7"/>
  <c r="L103" i="28"/>
  <c r="L104" i="28" s="1"/>
  <c r="O98" i="28"/>
  <c r="N49" i="7" s="1"/>
  <c r="N98" i="28"/>
  <c r="K49" i="7" s="1"/>
  <c r="G49" i="7"/>
  <c r="P98" i="28"/>
  <c r="O49" i="7" s="1"/>
  <c r="O51" i="7" s="1"/>
  <c r="O58" i="7" s="1"/>
  <c r="M98" i="28"/>
  <c r="I49" i="7" s="1"/>
  <c r="Q98" i="28"/>
  <c r="P49" i="7" s="1"/>
  <c r="P51" i="7" s="1"/>
  <c r="L98" i="28"/>
  <c r="G15" i="21"/>
  <c r="G22" i="21" s="1"/>
  <c r="H56" i="20"/>
  <c r="H57" i="20" s="1"/>
  <c r="H58" i="20" s="1"/>
  <c r="G57" i="20"/>
  <c r="G58" i="20" s="1"/>
  <c r="G59" i="20" s="1"/>
  <c r="G57" i="7"/>
  <c r="H56" i="7"/>
  <c r="G15" i="17"/>
  <c r="G22" i="17" s="1"/>
  <c r="M206" i="28"/>
  <c r="I49" i="17" s="1"/>
  <c r="I51" i="17" s="1"/>
  <c r="P206" i="28"/>
  <c r="O49" i="17" s="1"/>
  <c r="O51" i="17" s="1"/>
  <c r="O58" i="17" s="1"/>
  <c r="G49" i="17"/>
  <c r="L206" i="28"/>
  <c r="L211" i="28" s="1"/>
  <c r="L212" i="28" s="1"/>
  <c r="N206" i="28"/>
  <c r="K49" i="17" s="1"/>
  <c r="K51" i="17" s="1"/>
  <c r="O206" i="28"/>
  <c r="N49" i="17" s="1"/>
  <c r="N51" i="17" s="1"/>
  <c r="Q206" i="28"/>
  <c r="P49" i="17" s="1"/>
  <c r="P51" i="17" s="1"/>
  <c r="P37" i="5"/>
  <c r="Q37" i="5" s="1"/>
  <c r="M38" i="5"/>
  <c r="G59" i="19"/>
  <c r="O283" i="28"/>
  <c r="O284" i="28" s="1"/>
  <c r="M57" i="22"/>
  <c r="L55" i="5"/>
  <c r="L57" i="5" s="1"/>
  <c r="L58" i="5" s="1"/>
  <c r="H55" i="22"/>
  <c r="H57" i="22" s="1"/>
  <c r="H49" i="1"/>
  <c r="G51" i="1"/>
  <c r="P51" i="1"/>
  <c r="P58" i="1" s="1"/>
  <c r="O57" i="1"/>
  <c r="N57" i="1"/>
  <c r="N58" i="1" s="1"/>
  <c r="N58" i="19"/>
  <c r="P56" i="19"/>
  <c r="P57" i="19" s="1"/>
  <c r="P58" i="19" s="1"/>
  <c r="M57" i="19"/>
  <c r="M58" i="19" s="1"/>
  <c r="M59" i="19" s="1"/>
  <c r="L56" i="5"/>
  <c r="H31" i="18"/>
  <c r="T8" i="28"/>
  <c r="K28" i="7"/>
  <c r="K33" i="7" s="1"/>
  <c r="K44" i="7" s="1"/>
  <c r="H26" i="7"/>
  <c r="H28" i="7" s="1"/>
  <c r="H33" i="7" s="1"/>
  <c r="H44" i="7" s="1"/>
  <c r="G28" i="7"/>
  <c r="G33" i="7" s="1"/>
  <c r="G44" i="7" s="1"/>
  <c r="M89" i="22"/>
  <c r="M86" i="22"/>
  <c r="M283" i="28"/>
  <c r="M284" i="28" s="1"/>
  <c r="O319" i="28"/>
  <c r="O320" i="28" s="1"/>
  <c r="H26" i="1"/>
  <c r="H20" i="18"/>
  <c r="P21" i="18"/>
  <c r="N32" i="18"/>
  <c r="I32" i="18"/>
  <c r="O59" i="19"/>
  <c r="Q283" i="28"/>
  <c r="Q284" i="28" s="1"/>
  <c r="P47" i="6"/>
  <c r="Q47" i="6" s="1"/>
  <c r="G52" i="6"/>
  <c r="O15" i="1"/>
  <c r="O22" i="1" s="1"/>
  <c r="I103" i="28"/>
  <c r="I104" i="28" s="1"/>
  <c r="P13" i="7"/>
  <c r="Q103" i="28"/>
  <c r="Q104" i="28" s="1"/>
  <c r="N351" i="28"/>
  <c r="K50" i="21" s="1"/>
  <c r="K51" i="21" s="1"/>
  <c r="G50" i="21"/>
  <c r="G51" i="21" s="1"/>
  <c r="M351" i="28"/>
  <c r="I50" i="21" s="1"/>
  <c r="I51" i="21" s="1"/>
  <c r="Q351" i="28"/>
  <c r="P50" i="21" s="1"/>
  <c r="P51" i="21" s="1"/>
  <c r="P351" i="28"/>
  <c r="O50" i="21" s="1"/>
  <c r="O51" i="21" s="1"/>
  <c r="L351" i="28"/>
  <c r="L355" i="28" s="1"/>
  <c r="L356" i="28" s="1"/>
  <c r="O351" i="28"/>
  <c r="N50" i="21" s="1"/>
  <c r="N51" i="21" s="1"/>
  <c r="N14" i="21"/>
  <c r="N15" i="21" s="1"/>
  <c r="N22" i="21" s="1"/>
  <c r="I34" i="6"/>
  <c r="I54" i="6" s="1"/>
  <c r="I10" i="12" s="1"/>
  <c r="I14" i="12" s="1"/>
  <c r="I17" i="12" s="1"/>
  <c r="H15" i="1"/>
  <c r="H22" i="1" s="1"/>
  <c r="M87" i="22"/>
  <c r="K15" i="1"/>
  <c r="N13" i="17"/>
  <c r="N15" i="17" s="1"/>
  <c r="N22" i="17" s="1"/>
  <c r="I13" i="17"/>
  <c r="I15" i="17" s="1"/>
  <c r="I22" i="17" s="1"/>
  <c r="M62" i="18"/>
  <c r="L14" i="6"/>
  <c r="N59" i="19"/>
  <c r="O51" i="1"/>
  <c r="K51" i="1"/>
  <c r="J82" i="28"/>
  <c r="I83" i="28"/>
  <c r="P28" i="7"/>
  <c r="P33" i="7" s="1"/>
  <c r="P44" i="7" s="1"/>
  <c r="H26" i="21"/>
  <c r="H28" i="21" s="1"/>
  <c r="L91" i="22"/>
  <c r="L92" i="22" s="1"/>
  <c r="H49" i="22"/>
  <c r="H51" i="22" s="1"/>
  <c r="G51" i="22"/>
  <c r="H14" i="19"/>
  <c r="H15" i="19" s="1"/>
  <c r="H22" i="19" s="1"/>
  <c r="I15" i="19"/>
  <c r="I22" i="19" s="1"/>
  <c r="I59" i="19" s="1"/>
  <c r="N59" i="20"/>
  <c r="M67" i="28"/>
  <c r="M68" i="28" s="1"/>
  <c r="H21" i="7"/>
  <c r="K15" i="18"/>
  <c r="O32" i="18"/>
  <c r="O33" i="18" s="1"/>
  <c r="O44" i="18" s="1"/>
  <c r="M42" i="5"/>
  <c r="P42" i="5" s="1"/>
  <c r="Q42" i="5" s="1"/>
  <c r="P40" i="5"/>
  <c r="Q40" i="5" s="1"/>
  <c r="O59" i="20"/>
  <c r="P59" i="19"/>
  <c r="P319" i="28"/>
  <c r="P320" i="28" s="1"/>
  <c r="H27" i="22"/>
  <c r="H28" i="22" s="1"/>
  <c r="H33" i="22" s="1"/>
  <c r="H44" i="22" s="1"/>
  <c r="I28" i="22"/>
  <c r="I33" i="22" s="1"/>
  <c r="I44" i="22" s="1"/>
  <c r="J118" i="28"/>
  <c r="I119" i="28"/>
  <c r="G15" i="7"/>
  <c r="G22" i="7" s="1"/>
  <c r="K13" i="7"/>
  <c r="I355" i="28"/>
  <c r="I356" i="28" s="1"/>
  <c r="I14" i="21"/>
  <c r="I15" i="21" s="1"/>
  <c r="I22" i="21" s="1"/>
  <c r="H49" i="21"/>
  <c r="H30" i="21"/>
  <c r="H32" i="21" s="1"/>
  <c r="O160" i="28" l="1"/>
  <c r="N19" i="16" s="1"/>
  <c r="G19" i="16"/>
  <c r="M160" i="28"/>
  <c r="I19" i="16" s="1"/>
  <c r="Q160" i="28"/>
  <c r="P19" i="16" s="1"/>
  <c r="N160" i="28"/>
  <c r="K19" i="16" s="1"/>
  <c r="P160" i="28"/>
  <c r="O19" i="16" s="1"/>
  <c r="L160" i="28"/>
  <c r="I172" i="28"/>
  <c r="P131" i="28"/>
  <c r="O31" i="15" s="1"/>
  <c r="G31" i="15"/>
  <c r="Q131" i="28"/>
  <c r="P31" i="15" s="1"/>
  <c r="O131" i="28"/>
  <c r="N31" i="15" s="1"/>
  <c r="M31" i="5" s="1"/>
  <c r="N131" i="28"/>
  <c r="K31" i="15" s="1"/>
  <c r="M131" i="28"/>
  <c r="I31" i="15" s="1"/>
  <c r="L131" i="28"/>
  <c r="K58" i="17"/>
  <c r="I58" i="17"/>
  <c r="K58" i="22"/>
  <c r="K59" i="22" s="1"/>
  <c r="O15" i="18"/>
  <c r="O22" i="18" s="1"/>
  <c r="P28" i="18"/>
  <c r="H27" i="18"/>
  <c r="G31" i="16"/>
  <c r="O167" i="28"/>
  <c r="N31" i="16" s="1"/>
  <c r="M167" i="28"/>
  <c r="I31" i="16" s="1"/>
  <c r="Q167" i="28"/>
  <c r="P31" i="16" s="1"/>
  <c r="N167" i="28"/>
  <c r="K31" i="16" s="1"/>
  <c r="L167" i="28"/>
  <c r="P167" i="28"/>
  <c r="O31" i="16" s="1"/>
  <c r="Q158" i="28"/>
  <c r="P13" i="16" s="1"/>
  <c r="M158" i="28"/>
  <c r="I13" i="16" s="1"/>
  <c r="P158" i="28"/>
  <c r="O13" i="16" s="1"/>
  <c r="L158" i="28"/>
  <c r="O158" i="28"/>
  <c r="N13" i="16" s="1"/>
  <c r="N158" i="28"/>
  <c r="K13" i="16" s="1"/>
  <c r="I170" i="28"/>
  <c r="G13" i="16"/>
  <c r="I28" i="18"/>
  <c r="G13" i="15"/>
  <c r="O122" i="28"/>
  <c r="N13" i="15" s="1"/>
  <c r="Q122" i="28"/>
  <c r="P13" i="15" s="1"/>
  <c r="N122" i="28"/>
  <c r="K13" i="15" s="1"/>
  <c r="K15" i="15" s="1"/>
  <c r="L122" i="28"/>
  <c r="I134" i="28"/>
  <c r="M122" i="28"/>
  <c r="P122" i="28"/>
  <c r="O13" i="15" s="1"/>
  <c r="O15" i="15" s="1"/>
  <c r="M128" i="28"/>
  <c r="I26" i="15" s="1"/>
  <c r="P128" i="28"/>
  <c r="O26" i="15" s="1"/>
  <c r="N128" i="28"/>
  <c r="K26" i="15" s="1"/>
  <c r="Q128" i="28"/>
  <c r="P26" i="15" s="1"/>
  <c r="L128" i="28"/>
  <c r="O128" i="28"/>
  <c r="N26" i="15" s="1"/>
  <c r="G26" i="15"/>
  <c r="K21" i="18"/>
  <c r="K22" i="18" s="1"/>
  <c r="N21" i="18"/>
  <c r="N166" i="28"/>
  <c r="K30" i="16" s="1"/>
  <c r="P166" i="28"/>
  <c r="O30" i="16" s="1"/>
  <c r="O32" i="16" s="1"/>
  <c r="G30" i="16"/>
  <c r="L166" i="28"/>
  <c r="Q166" i="28"/>
  <c r="P30" i="16" s="1"/>
  <c r="P32" i="16" s="1"/>
  <c r="O166" i="28"/>
  <c r="N30" i="16" s="1"/>
  <c r="N32" i="16" s="1"/>
  <c r="M166" i="28"/>
  <c r="I30" i="16" s="1"/>
  <c r="I32" i="16" s="1"/>
  <c r="N124" i="28"/>
  <c r="K19" i="15" s="1"/>
  <c r="P124" i="28"/>
  <c r="O19" i="15" s="1"/>
  <c r="N19" i="5" s="1"/>
  <c r="Q124" i="28"/>
  <c r="P19" i="15" s="1"/>
  <c r="G19" i="15"/>
  <c r="O124" i="28"/>
  <c r="N19" i="15" s="1"/>
  <c r="M19" i="5" s="1"/>
  <c r="M124" i="28"/>
  <c r="I19" i="15" s="1"/>
  <c r="L124" i="28"/>
  <c r="I136" i="28"/>
  <c r="N103" i="28"/>
  <c r="N104" i="28" s="1"/>
  <c r="H19" i="18"/>
  <c r="M355" i="28"/>
  <c r="M356" i="28" s="1"/>
  <c r="O355" i="28"/>
  <c r="O356" i="28" s="1"/>
  <c r="I33" i="18"/>
  <c r="I44" i="18" s="1"/>
  <c r="M91" i="22"/>
  <c r="M58" i="22"/>
  <c r="P58" i="7"/>
  <c r="K51" i="7"/>
  <c r="K58" i="7" s="1"/>
  <c r="I59" i="20"/>
  <c r="I62" i="20" s="1"/>
  <c r="H33" i="20"/>
  <c r="H44" i="20" s="1"/>
  <c r="P33" i="18"/>
  <c r="P44" i="18" s="1"/>
  <c r="G49" i="18"/>
  <c r="O242" i="28"/>
  <c r="L242" i="28"/>
  <c r="N242" i="28"/>
  <c r="P242" i="28"/>
  <c r="Q242" i="28"/>
  <c r="P49" i="18" s="1"/>
  <c r="M242" i="28"/>
  <c r="P161" i="28"/>
  <c r="O20" i="16" s="1"/>
  <c r="O21" i="16" s="1"/>
  <c r="O161" i="28"/>
  <c r="N20" i="16" s="1"/>
  <c r="I173" i="28"/>
  <c r="G20" i="16"/>
  <c r="N161" i="28"/>
  <c r="K20" i="16" s="1"/>
  <c r="K21" i="16" s="1"/>
  <c r="Q161" i="28"/>
  <c r="P20" i="16" s="1"/>
  <c r="P21" i="16" s="1"/>
  <c r="L161" i="28"/>
  <c r="M161" i="28"/>
  <c r="I20" i="16" s="1"/>
  <c r="I21" i="16" s="1"/>
  <c r="O164" i="28"/>
  <c r="N26" i="16" s="1"/>
  <c r="N164" i="28"/>
  <c r="K26" i="16" s="1"/>
  <c r="Q164" i="28"/>
  <c r="P26" i="16" s="1"/>
  <c r="P164" i="28"/>
  <c r="O26" i="16" s="1"/>
  <c r="G26" i="16"/>
  <c r="L164" i="28"/>
  <c r="M164" i="28"/>
  <c r="I26" i="16" s="1"/>
  <c r="G28" i="18"/>
  <c r="G33" i="18" s="1"/>
  <c r="G44" i="18" s="1"/>
  <c r="H26" i="18"/>
  <c r="H28" i="18" s="1"/>
  <c r="I135" i="28"/>
  <c r="O123" i="28"/>
  <c r="N14" i="15" s="1"/>
  <c r="M123" i="28"/>
  <c r="I14" i="15" s="1"/>
  <c r="P123" i="28"/>
  <c r="O14" i="15" s="1"/>
  <c r="N14" i="5" s="1"/>
  <c r="L123" i="28"/>
  <c r="G14" i="15"/>
  <c r="N123" i="28"/>
  <c r="K14" i="15" s="1"/>
  <c r="Q123" i="28"/>
  <c r="P14" i="15" s="1"/>
  <c r="Q125" i="28"/>
  <c r="P20" i="15" s="1"/>
  <c r="O20" i="5" s="1"/>
  <c r="N125" i="28"/>
  <c r="K20" i="15" s="1"/>
  <c r="J20" i="5" s="1"/>
  <c r="O125" i="28"/>
  <c r="N20" i="15" s="1"/>
  <c r="L125" i="28"/>
  <c r="I137" i="28"/>
  <c r="P125" i="28"/>
  <c r="O20" i="15" s="1"/>
  <c r="G20" i="15"/>
  <c r="M125" i="28"/>
  <c r="I20" i="15" s="1"/>
  <c r="H20" i="5" s="1"/>
  <c r="I247" i="28"/>
  <c r="I248" i="28" s="1"/>
  <c r="I21" i="18"/>
  <c r="I22" i="18" s="1"/>
  <c r="N58" i="17"/>
  <c r="H22" i="22"/>
  <c r="H57" i="17"/>
  <c r="G15" i="18"/>
  <c r="G22" i="18" s="1"/>
  <c r="H13" i="18"/>
  <c r="H15" i="18" s="1"/>
  <c r="I21" i="22"/>
  <c r="I22" i="22" s="1"/>
  <c r="I59" i="22" s="1"/>
  <c r="H19" i="22"/>
  <c r="H21" i="22" s="1"/>
  <c r="O211" i="28"/>
  <c r="O212" i="28" s="1"/>
  <c r="M211" i="28"/>
  <c r="M212" i="28" s="1"/>
  <c r="K22" i="1"/>
  <c r="P22" i="18"/>
  <c r="I51" i="7"/>
  <c r="I58" i="7" s="1"/>
  <c r="N51" i="7"/>
  <c r="N58" i="7" s="1"/>
  <c r="N15" i="18"/>
  <c r="Q159" i="28"/>
  <c r="P14" i="16" s="1"/>
  <c r="P15" i="16" s="1"/>
  <c r="P22" i="16" s="1"/>
  <c r="P159" i="28"/>
  <c r="O14" i="16" s="1"/>
  <c r="O15" i="16" s="1"/>
  <c r="O22" i="16" s="1"/>
  <c r="N159" i="28"/>
  <c r="K14" i="16" s="1"/>
  <c r="K15" i="16" s="1"/>
  <c r="K22" i="16" s="1"/>
  <c r="G14" i="16"/>
  <c r="M159" i="28"/>
  <c r="I14" i="16" s="1"/>
  <c r="H14" i="5" s="1"/>
  <c r="O159" i="28"/>
  <c r="N14" i="16" s="1"/>
  <c r="I171" i="28"/>
  <c r="L159" i="28"/>
  <c r="G27" i="16"/>
  <c r="Q165" i="28"/>
  <c r="P27" i="16" s="1"/>
  <c r="P28" i="16" s="1"/>
  <c r="L165" i="28"/>
  <c r="O165" i="28"/>
  <c r="N27" i="16" s="1"/>
  <c r="M165" i="28"/>
  <c r="I27" i="16" s="1"/>
  <c r="N165" i="28"/>
  <c r="K27" i="16" s="1"/>
  <c r="P165" i="28"/>
  <c r="O27" i="16" s="1"/>
  <c r="O28" i="16" s="1"/>
  <c r="H55" i="17"/>
  <c r="O243" i="28"/>
  <c r="N50" i="18" s="1"/>
  <c r="N243" i="28"/>
  <c r="K50" i="18" s="1"/>
  <c r="Q243" i="28"/>
  <c r="P50" i="18" s="1"/>
  <c r="G50" i="18"/>
  <c r="L243" i="28"/>
  <c r="L247" i="28" s="1"/>
  <c r="L248" i="28" s="1"/>
  <c r="M243" i="28"/>
  <c r="I50" i="18" s="1"/>
  <c r="P243" i="28"/>
  <c r="O50" i="18" s="1"/>
  <c r="N28" i="18"/>
  <c r="N33" i="18" s="1"/>
  <c r="N44" i="18" s="1"/>
  <c r="P129" i="28"/>
  <c r="O27" i="15" s="1"/>
  <c r="N27" i="5" s="1"/>
  <c r="Q129" i="28"/>
  <c r="P27" i="15" s="1"/>
  <c r="O27" i="5" s="1"/>
  <c r="O129" i="28"/>
  <c r="N27" i="15" s="1"/>
  <c r="G27" i="15"/>
  <c r="L129" i="28"/>
  <c r="N129" i="28"/>
  <c r="K27" i="15" s="1"/>
  <c r="M129" i="28"/>
  <c r="I27" i="15" s="1"/>
  <c r="P130" i="28"/>
  <c r="O30" i="15" s="1"/>
  <c r="N130" i="28"/>
  <c r="K30" i="15" s="1"/>
  <c r="O130" i="28"/>
  <c r="N30" i="15" s="1"/>
  <c r="G30" i="15"/>
  <c r="L130" i="28"/>
  <c r="Q130" i="28"/>
  <c r="P30" i="15" s="1"/>
  <c r="M130" i="28"/>
  <c r="I30" i="15" s="1"/>
  <c r="L245" i="28"/>
  <c r="O245" i="28"/>
  <c r="N56" i="18" s="1"/>
  <c r="N57" i="18" s="1"/>
  <c r="Q245" i="28"/>
  <c r="P56" i="18" s="1"/>
  <c r="P57" i="18" s="1"/>
  <c r="G56" i="18"/>
  <c r="N245" i="28"/>
  <c r="K56" i="18" s="1"/>
  <c r="K57" i="18" s="1"/>
  <c r="M245" i="28"/>
  <c r="I56" i="18" s="1"/>
  <c r="I57" i="18" s="1"/>
  <c r="P245" i="28"/>
  <c r="O56" i="18" s="1"/>
  <c r="O57" i="18" s="1"/>
  <c r="H55" i="7"/>
  <c r="H57" i="7" s="1"/>
  <c r="H58" i="7" s="1"/>
  <c r="J18" i="6"/>
  <c r="K61" i="22"/>
  <c r="G62" i="20"/>
  <c r="F16" i="6"/>
  <c r="R16" i="6" s="1"/>
  <c r="K15" i="7"/>
  <c r="K22" i="7" s="1"/>
  <c r="K59" i="7" s="1"/>
  <c r="N62" i="20"/>
  <c r="M16" i="6"/>
  <c r="H50" i="21"/>
  <c r="O58" i="1"/>
  <c r="O59" i="1" s="1"/>
  <c r="H58" i="22"/>
  <c r="H59" i="22" s="1"/>
  <c r="G62" i="19"/>
  <c r="F15" i="6"/>
  <c r="R15" i="6" s="1"/>
  <c r="P59" i="1"/>
  <c r="N59" i="1"/>
  <c r="P103" i="28"/>
  <c r="P104" i="28" s="1"/>
  <c r="H55" i="18"/>
  <c r="G57" i="18"/>
  <c r="H56" i="19"/>
  <c r="H57" i="19" s="1"/>
  <c r="H58" i="19" s="1"/>
  <c r="O59" i="17"/>
  <c r="I58" i="21"/>
  <c r="I59" i="21" s="1"/>
  <c r="G57" i="21"/>
  <c r="G58" i="21" s="1"/>
  <c r="G59" i="21" s="1"/>
  <c r="H55" i="21"/>
  <c r="H57" i="21" s="1"/>
  <c r="O15" i="6"/>
  <c r="P62" i="19"/>
  <c r="I62" i="19"/>
  <c r="H15" i="6"/>
  <c r="N59" i="17"/>
  <c r="N15" i="6"/>
  <c r="O62" i="19"/>
  <c r="H21" i="18"/>
  <c r="N355" i="28"/>
  <c r="N356" i="28" s="1"/>
  <c r="H28" i="1"/>
  <c r="H33" i="1" s="1"/>
  <c r="H44" i="1" s="1"/>
  <c r="P38" i="5"/>
  <c r="Q38" i="5" s="1"/>
  <c r="M43" i="5"/>
  <c r="P43" i="5" s="1"/>
  <c r="Q43" i="5" s="1"/>
  <c r="H14" i="21"/>
  <c r="H15" i="21" s="1"/>
  <c r="H22" i="21" s="1"/>
  <c r="H32" i="18"/>
  <c r="H33" i="18" s="1"/>
  <c r="H44" i="18" s="1"/>
  <c r="P62" i="20"/>
  <c r="O16" i="6"/>
  <c r="K58" i="1"/>
  <c r="Q211" i="28"/>
  <c r="Q212" i="28" s="1"/>
  <c r="O15" i="7"/>
  <c r="O22" i="7" s="1"/>
  <c r="O59" i="7" s="1"/>
  <c r="I15" i="16"/>
  <c r="I22" i="16" s="1"/>
  <c r="Q355" i="28"/>
  <c r="Q356" i="28" s="1"/>
  <c r="N211" i="28"/>
  <c r="N212" i="28" s="1"/>
  <c r="O58" i="21"/>
  <c r="O59" i="21" s="1"/>
  <c r="H51" i="21"/>
  <c r="H13" i="7"/>
  <c r="H59" i="19"/>
  <c r="P52" i="6"/>
  <c r="Q52" i="6" s="1"/>
  <c r="G53" i="6"/>
  <c r="H49" i="7"/>
  <c r="H51" i="7" s="1"/>
  <c r="G51" i="7"/>
  <c r="G58" i="7" s="1"/>
  <c r="G59" i="7" s="1"/>
  <c r="M103" i="28"/>
  <c r="M104" i="28" s="1"/>
  <c r="K16" i="12"/>
  <c r="K17" i="12" s="1"/>
  <c r="G58" i="22"/>
  <c r="G59" i="22" s="1"/>
  <c r="H59" i="20"/>
  <c r="P59" i="17"/>
  <c r="K59" i="19"/>
  <c r="O103" i="28"/>
  <c r="O104" i="28" s="1"/>
  <c r="M59" i="22"/>
  <c r="K59" i="17"/>
  <c r="P58" i="21"/>
  <c r="P59" i="21" s="1"/>
  <c r="N16" i="6"/>
  <c r="O62" i="20"/>
  <c r="H33" i="21"/>
  <c r="H44" i="21" s="1"/>
  <c r="N62" i="19"/>
  <c r="M15" i="6"/>
  <c r="I59" i="17"/>
  <c r="K59" i="1"/>
  <c r="P15" i="7"/>
  <c r="P22" i="7" s="1"/>
  <c r="P59" i="7" s="1"/>
  <c r="O13" i="5"/>
  <c r="L15" i="6"/>
  <c r="M62" i="19"/>
  <c r="H51" i="1"/>
  <c r="H58" i="1" s="1"/>
  <c r="H59" i="1" s="1"/>
  <c r="H49" i="17"/>
  <c r="H51" i="17" s="1"/>
  <c r="G51" i="17"/>
  <c r="G58" i="17" s="1"/>
  <c r="G59" i="17" s="1"/>
  <c r="H13" i="17"/>
  <c r="H15" i="17" s="1"/>
  <c r="H22" i="17" s="1"/>
  <c r="I15" i="7"/>
  <c r="I22" i="7" s="1"/>
  <c r="P355" i="28"/>
  <c r="P356" i="28" s="1"/>
  <c r="N15" i="7"/>
  <c r="N22" i="7" s="1"/>
  <c r="N59" i="7" s="1"/>
  <c r="M13" i="5"/>
  <c r="M15" i="5" s="1"/>
  <c r="N15" i="16"/>
  <c r="M14" i="5"/>
  <c r="I59" i="1"/>
  <c r="L59" i="5"/>
  <c r="G58" i="1"/>
  <c r="G59" i="1" s="1"/>
  <c r="P211" i="28"/>
  <c r="P212" i="28" s="1"/>
  <c r="N58" i="21"/>
  <c r="N59" i="21" s="1"/>
  <c r="K58" i="21"/>
  <c r="K59" i="21" s="1"/>
  <c r="K62" i="20"/>
  <c r="J16" i="6"/>
  <c r="P58" i="18" l="1"/>
  <c r="P59" i="18" s="1"/>
  <c r="G15" i="15"/>
  <c r="F13" i="5"/>
  <c r="H31" i="16"/>
  <c r="Q247" i="28"/>
  <c r="Q248" i="28" s="1"/>
  <c r="G55" i="16"/>
  <c r="O172" i="28"/>
  <c r="N55" i="16" s="1"/>
  <c r="N172" i="28"/>
  <c r="K55" i="16" s="1"/>
  <c r="Q172" i="28"/>
  <c r="P55" i="16" s="1"/>
  <c r="M172" i="28"/>
  <c r="I55" i="16" s="1"/>
  <c r="I57" i="16" s="1"/>
  <c r="P172" i="28"/>
  <c r="O55" i="16" s="1"/>
  <c r="L172" i="28"/>
  <c r="Q137" i="28"/>
  <c r="P56" i="15" s="1"/>
  <c r="M137" i="28"/>
  <c r="I56" i="15" s="1"/>
  <c r="H56" i="5" s="1"/>
  <c r="N137" i="28"/>
  <c r="K56" i="15" s="1"/>
  <c r="P137" i="28"/>
  <c r="O56" i="15" s="1"/>
  <c r="L137" i="28"/>
  <c r="O137" i="28"/>
  <c r="N56" i="15" s="1"/>
  <c r="M56" i="5" s="1"/>
  <c r="G56" i="15"/>
  <c r="P28" i="15"/>
  <c r="O26" i="5"/>
  <c r="O28" i="5" s="1"/>
  <c r="H27" i="15"/>
  <c r="F27" i="5"/>
  <c r="R27" i="5" s="1"/>
  <c r="H50" i="18"/>
  <c r="H14" i="16"/>
  <c r="H15" i="16" s="1"/>
  <c r="G28" i="16"/>
  <c r="H26" i="16"/>
  <c r="H28" i="16" s="1"/>
  <c r="N28" i="16"/>
  <c r="K49" i="18"/>
  <c r="K51" i="18" s="1"/>
  <c r="K58" i="18" s="1"/>
  <c r="K59" i="18" s="1"/>
  <c r="N247" i="28"/>
  <c r="N248" i="28" s="1"/>
  <c r="O136" i="28"/>
  <c r="N55" i="15" s="1"/>
  <c r="G55" i="15"/>
  <c r="Q136" i="28"/>
  <c r="P55" i="15" s="1"/>
  <c r="M136" i="28"/>
  <c r="I55" i="15" s="1"/>
  <c r="P136" i="28"/>
  <c r="O55" i="15" s="1"/>
  <c r="L136" i="28"/>
  <c r="N136" i="28"/>
  <c r="K55" i="15" s="1"/>
  <c r="H19" i="15"/>
  <c r="G21" i="15"/>
  <c r="F19" i="5"/>
  <c r="G32" i="16"/>
  <c r="G33" i="16" s="1"/>
  <c r="G44" i="16" s="1"/>
  <c r="H30" i="16"/>
  <c r="H32" i="16" s="1"/>
  <c r="H26" i="15"/>
  <c r="G28" i="15"/>
  <c r="F26" i="5"/>
  <c r="J26" i="5"/>
  <c r="I13" i="15"/>
  <c r="P15" i="15"/>
  <c r="P22" i="15" s="1"/>
  <c r="O31" i="5"/>
  <c r="O135" i="28"/>
  <c r="N50" i="15" s="1"/>
  <c r="M50" i="5" s="1"/>
  <c r="M135" i="28"/>
  <c r="I50" i="15" s="1"/>
  <c r="H50" i="5" s="1"/>
  <c r="P135" i="28"/>
  <c r="O50" i="15" s="1"/>
  <c r="L135" i="28"/>
  <c r="N135" i="28"/>
  <c r="K50" i="15" s="1"/>
  <c r="Q135" i="28"/>
  <c r="P50" i="15" s="1"/>
  <c r="G50" i="15"/>
  <c r="O49" i="18"/>
  <c r="O51" i="18" s="1"/>
  <c r="O58" i="18" s="1"/>
  <c r="O59" i="18" s="1"/>
  <c r="P247" i="28"/>
  <c r="P248" i="28" s="1"/>
  <c r="N13" i="5"/>
  <c r="N15" i="5" s="1"/>
  <c r="H16" i="6"/>
  <c r="O139" i="28"/>
  <c r="O140" i="28" s="1"/>
  <c r="O32" i="15"/>
  <c r="N30" i="5"/>
  <c r="N32" i="5" s="1"/>
  <c r="P139" i="28"/>
  <c r="P140" i="28" s="1"/>
  <c r="O14" i="5"/>
  <c r="H13" i="15"/>
  <c r="G32" i="15"/>
  <c r="H30" i="15"/>
  <c r="F30" i="5"/>
  <c r="I28" i="15"/>
  <c r="H27" i="5"/>
  <c r="M27" i="5"/>
  <c r="I175" i="28"/>
  <c r="I176" i="28" s="1"/>
  <c r="P171" i="28"/>
  <c r="O50" i="16" s="1"/>
  <c r="N171" i="28"/>
  <c r="K50" i="16" s="1"/>
  <c r="G50" i="16"/>
  <c r="O171" i="28"/>
  <c r="N50" i="16" s="1"/>
  <c r="M171" i="28"/>
  <c r="I50" i="16" s="1"/>
  <c r="L171" i="28"/>
  <c r="L175" i="28" s="1"/>
  <c r="L176" i="28" s="1"/>
  <c r="Q171" i="28"/>
  <c r="P50" i="16" s="1"/>
  <c r="P51" i="16" s="1"/>
  <c r="H20" i="15"/>
  <c r="F20" i="5"/>
  <c r="R20" i="5" s="1"/>
  <c r="N21" i="15"/>
  <c r="M20" i="5"/>
  <c r="M21" i="5" s="1"/>
  <c r="M22" i="5" s="1"/>
  <c r="J14" i="5"/>
  <c r="H20" i="16"/>
  <c r="I49" i="18"/>
  <c r="I51" i="18" s="1"/>
  <c r="I58" i="18" s="1"/>
  <c r="I59" i="18" s="1"/>
  <c r="M247" i="28"/>
  <c r="M248" i="28" s="1"/>
  <c r="P21" i="15"/>
  <c r="O19" i="5"/>
  <c r="O21" i="5" s="1"/>
  <c r="N33" i="16"/>
  <c r="N44" i="16" s="1"/>
  <c r="O33" i="16"/>
  <c r="O44" i="16" s="1"/>
  <c r="N28" i="15"/>
  <c r="N33" i="15" s="1"/>
  <c r="N44" i="15" s="1"/>
  <c r="M26" i="5"/>
  <c r="O28" i="15"/>
  <c r="O33" i="15" s="1"/>
  <c r="O44" i="15" s="1"/>
  <c r="N26" i="5"/>
  <c r="N28" i="5" s="1"/>
  <c r="M134" i="28"/>
  <c r="I49" i="15" s="1"/>
  <c r="L134" i="28"/>
  <c r="L139" i="28" s="1"/>
  <c r="L140" i="28" s="1"/>
  <c r="Q134" i="28"/>
  <c r="P49" i="15" s="1"/>
  <c r="N134" i="28"/>
  <c r="O134" i="28"/>
  <c r="N49" i="15" s="1"/>
  <c r="P134" i="28"/>
  <c r="O49" i="15" s="1"/>
  <c r="G49" i="15"/>
  <c r="N15" i="15"/>
  <c r="H13" i="16"/>
  <c r="G15" i="16"/>
  <c r="H31" i="15"/>
  <c r="G31" i="5" s="1"/>
  <c r="P31" i="5" s="1"/>
  <c r="Q31" i="5" s="1"/>
  <c r="H31" i="5"/>
  <c r="F31" i="5"/>
  <c r="R31" i="5" s="1"/>
  <c r="H19" i="16"/>
  <c r="G21" i="16"/>
  <c r="I59" i="7"/>
  <c r="P32" i="15"/>
  <c r="P33" i="15" s="1"/>
  <c r="P44" i="15" s="1"/>
  <c r="O30" i="5"/>
  <c r="O32" i="5" s="1"/>
  <c r="K32" i="15"/>
  <c r="J30" i="5"/>
  <c r="J32" i="5" s="1"/>
  <c r="H27" i="16"/>
  <c r="G51" i="18"/>
  <c r="G58" i="18" s="1"/>
  <c r="G59" i="18" s="1"/>
  <c r="K21" i="15"/>
  <c r="J19" i="5"/>
  <c r="K22" i="15"/>
  <c r="H58" i="17"/>
  <c r="O15" i="5"/>
  <c r="O22" i="5" s="1"/>
  <c r="H22" i="18"/>
  <c r="J13" i="5"/>
  <c r="J15" i="5" s="1"/>
  <c r="H56" i="18"/>
  <c r="H57" i="18" s="1"/>
  <c r="I32" i="15"/>
  <c r="H30" i="5"/>
  <c r="H32" i="5" s="1"/>
  <c r="N32" i="15"/>
  <c r="M30" i="5"/>
  <c r="M32" i="5" s="1"/>
  <c r="K28" i="15"/>
  <c r="K33" i="15" s="1"/>
  <c r="K44" i="15" s="1"/>
  <c r="J27" i="5"/>
  <c r="K28" i="16"/>
  <c r="O21" i="15"/>
  <c r="O22" i="15" s="1"/>
  <c r="N20" i="5"/>
  <c r="J21" i="5"/>
  <c r="F14" i="5"/>
  <c r="R14" i="5" s="1"/>
  <c r="H14" i="15"/>
  <c r="I28" i="16"/>
  <c r="I33" i="16" s="1"/>
  <c r="I44" i="16" s="1"/>
  <c r="P173" i="28"/>
  <c r="O56" i="16" s="1"/>
  <c r="N173" i="28"/>
  <c r="K56" i="16" s="1"/>
  <c r="L173" i="28"/>
  <c r="G56" i="16"/>
  <c r="Q173" i="28"/>
  <c r="P56" i="16" s="1"/>
  <c r="M173" i="28"/>
  <c r="I56" i="16" s="1"/>
  <c r="O173" i="28"/>
  <c r="N56" i="16" s="1"/>
  <c r="P51" i="18"/>
  <c r="N49" i="18"/>
  <c r="N51" i="18" s="1"/>
  <c r="N58" i="18" s="1"/>
  <c r="O247" i="28"/>
  <c r="O248" i="28" s="1"/>
  <c r="I21" i="15"/>
  <c r="H19" i="5"/>
  <c r="H21" i="5" s="1"/>
  <c r="N21" i="5"/>
  <c r="P33" i="16"/>
  <c r="P44" i="16" s="1"/>
  <c r="K32" i="16"/>
  <c r="N22" i="18"/>
  <c r="H26" i="5"/>
  <c r="H28" i="5" s="1"/>
  <c r="H33" i="5" s="1"/>
  <c r="H44" i="5" s="1"/>
  <c r="I139" i="28"/>
  <c r="I140" i="28" s="1"/>
  <c r="P170" i="28"/>
  <c r="G49" i="16"/>
  <c r="N170" i="28"/>
  <c r="K49" i="16" s="1"/>
  <c r="L170" i="28"/>
  <c r="Q170" i="28"/>
  <c r="P49" i="16" s="1"/>
  <c r="O170" i="28"/>
  <c r="N49" i="16" s="1"/>
  <c r="M170" i="28"/>
  <c r="I49" i="16" s="1"/>
  <c r="J31" i="5"/>
  <c r="N31" i="5"/>
  <c r="N21" i="16"/>
  <c r="N22" i="16" s="1"/>
  <c r="G9" i="6"/>
  <c r="H62" i="1"/>
  <c r="G62" i="21"/>
  <c r="F17" i="6"/>
  <c r="R17" i="6" s="1"/>
  <c r="J17" i="6"/>
  <c r="K62" i="21"/>
  <c r="N62" i="21"/>
  <c r="M17" i="6"/>
  <c r="G62" i="17"/>
  <c r="F13" i="6"/>
  <c r="R13" i="6" s="1"/>
  <c r="G62" i="7"/>
  <c r="F10" i="6"/>
  <c r="R10" i="6" s="1"/>
  <c r="N17" i="6"/>
  <c r="O62" i="21"/>
  <c r="I62" i="21"/>
  <c r="H17" i="6"/>
  <c r="O10" i="6"/>
  <c r="P62" i="7"/>
  <c r="H13" i="6"/>
  <c r="I62" i="17"/>
  <c r="H15" i="7"/>
  <c r="H22" i="7" s="1"/>
  <c r="H59" i="7" s="1"/>
  <c r="G13" i="5"/>
  <c r="H18" i="6"/>
  <c r="I61" i="22"/>
  <c r="J9" i="6"/>
  <c r="K62" i="1"/>
  <c r="L18" i="6"/>
  <c r="L34" i="6" s="1"/>
  <c r="L54" i="6" s="1"/>
  <c r="L10" i="12" s="1"/>
  <c r="L14" i="12" s="1"/>
  <c r="M61" i="22"/>
  <c r="K62" i="19"/>
  <c r="J15" i="6"/>
  <c r="H62" i="19"/>
  <c r="G15" i="6"/>
  <c r="N62" i="17"/>
  <c r="M13" i="6"/>
  <c r="O62" i="17"/>
  <c r="N13" i="6"/>
  <c r="N9" i="6"/>
  <c r="O62" i="1"/>
  <c r="N62" i="7"/>
  <c r="M10" i="6"/>
  <c r="I62" i="7"/>
  <c r="H10" i="6"/>
  <c r="F9" i="6"/>
  <c r="G62" i="1"/>
  <c r="K62" i="17"/>
  <c r="J13" i="6"/>
  <c r="O13" i="6"/>
  <c r="P62" i="17"/>
  <c r="G61" i="22"/>
  <c r="F18" i="6"/>
  <c r="R18" i="6" s="1"/>
  <c r="N10" i="6"/>
  <c r="O62" i="7"/>
  <c r="P62" i="1"/>
  <c r="O9" i="6"/>
  <c r="F62" i="19"/>
  <c r="A1" i="19" s="1"/>
  <c r="J10" i="6"/>
  <c r="K62" i="7"/>
  <c r="I62" i="1"/>
  <c r="H9" i="6"/>
  <c r="G18" i="6"/>
  <c r="H61" i="22"/>
  <c r="H59" i="17"/>
  <c r="P62" i="21"/>
  <c r="O17" i="6"/>
  <c r="G16" i="6"/>
  <c r="P16" i="6" s="1"/>
  <c r="Q16" i="6" s="1"/>
  <c r="H62" i="20"/>
  <c r="F62" i="20" s="1"/>
  <c r="A1" i="20" s="1"/>
  <c r="P53" i="6"/>
  <c r="Q53" i="6" s="1"/>
  <c r="S23" i="28"/>
  <c r="H58" i="21"/>
  <c r="H59" i="21" s="1"/>
  <c r="M9" i="6"/>
  <c r="N62" i="1"/>
  <c r="I62" i="18" l="1"/>
  <c r="H14" i="6"/>
  <c r="G62" i="18"/>
  <c r="F14" i="6"/>
  <c r="R14" i="6" s="1"/>
  <c r="N14" i="6"/>
  <c r="O62" i="18"/>
  <c r="K62" i="18"/>
  <c r="J14" i="6"/>
  <c r="O14" i="6"/>
  <c r="P62" i="18"/>
  <c r="K51" i="16"/>
  <c r="G19" i="5"/>
  <c r="O56" i="5"/>
  <c r="P57" i="16"/>
  <c r="P58" i="16" s="1"/>
  <c r="P59" i="16" s="1"/>
  <c r="M175" i="28"/>
  <c r="M176" i="28" s="1"/>
  <c r="P51" i="15"/>
  <c r="P58" i="15" s="1"/>
  <c r="P59" i="15" s="1"/>
  <c r="O49" i="5"/>
  <c r="N55" i="5"/>
  <c r="O57" i="15"/>
  <c r="H33" i="16"/>
  <c r="H44" i="16" s="1"/>
  <c r="Q175" i="28"/>
  <c r="Q176" i="28" s="1"/>
  <c r="G57" i="16"/>
  <c r="H55" i="16"/>
  <c r="H56" i="16"/>
  <c r="N175" i="28"/>
  <c r="N176" i="28" s="1"/>
  <c r="G22" i="16"/>
  <c r="M28" i="5"/>
  <c r="M33" i="5" s="1"/>
  <c r="M44" i="5" s="1"/>
  <c r="J50" i="5"/>
  <c r="H55" i="5"/>
  <c r="H57" i="5" s="1"/>
  <c r="I57" i="15"/>
  <c r="N51" i="15"/>
  <c r="M49" i="5"/>
  <c r="M51" i="5" s="1"/>
  <c r="H21" i="16"/>
  <c r="I51" i="16"/>
  <c r="I58" i="16" s="1"/>
  <c r="I59" i="16" s="1"/>
  <c r="H15" i="15"/>
  <c r="N22" i="5"/>
  <c r="M139" i="28"/>
  <c r="M140" i="28" s="1"/>
  <c r="G33" i="15"/>
  <c r="G44" i="15" s="1"/>
  <c r="K57" i="15"/>
  <c r="J55" i="5"/>
  <c r="P57" i="15"/>
  <c r="O55" i="5"/>
  <c r="O57" i="5" s="1"/>
  <c r="N56" i="5"/>
  <c r="K57" i="16"/>
  <c r="K58" i="16" s="1"/>
  <c r="G51" i="15"/>
  <c r="F49" i="5"/>
  <c r="H50" i="16"/>
  <c r="H32" i="15"/>
  <c r="G30" i="5"/>
  <c r="O50" i="5"/>
  <c r="J28" i="5"/>
  <c r="J33" i="5" s="1"/>
  <c r="J44" i="5" s="1"/>
  <c r="N57" i="15"/>
  <c r="M55" i="5"/>
  <c r="M57" i="5" s="1"/>
  <c r="M58" i="5" s="1"/>
  <c r="M59" i="5" s="1"/>
  <c r="H22" i="16"/>
  <c r="G22" i="15"/>
  <c r="P18" i="6"/>
  <c r="Q18" i="6" s="1"/>
  <c r="G51" i="16"/>
  <c r="N59" i="18"/>
  <c r="O51" i="15"/>
  <c r="R26" i="5"/>
  <c r="F28" i="5"/>
  <c r="O33" i="5"/>
  <c r="O44" i="5" s="1"/>
  <c r="O49" i="16"/>
  <c r="H49" i="16" s="1"/>
  <c r="P175" i="28"/>
  <c r="P176" i="28" s="1"/>
  <c r="G14" i="5"/>
  <c r="P14" i="5" s="1"/>
  <c r="Q14" i="5" s="1"/>
  <c r="I51" i="15"/>
  <c r="H49" i="5"/>
  <c r="H51" i="5" s="1"/>
  <c r="H58" i="5" s="1"/>
  <c r="O51" i="16"/>
  <c r="I33" i="15"/>
  <c r="I44" i="15" s="1"/>
  <c r="K33" i="16"/>
  <c r="K44" i="16" s="1"/>
  <c r="J22" i="5"/>
  <c r="Q139" i="28"/>
  <c r="Q140" i="28" s="1"/>
  <c r="O175" i="28"/>
  <c r="O176" i="28" s="1"/>
  <c r="H49" i="18"/>
  <c r="H51" i="18" s="1"/>
  <c r="H58" i="18" s="1"/>
  <c r="H59" i="18" s="1"/>
  <c r="N22" i="15"/>
  <c r="K49" i="15"/>
  <c r="N139" i="28"/>
  <c r="N140" i="28" s="1"/>
  <c r="N33" i="5"/>
  <c r="N44" i="5" s="1"/>
  <c r="O59" i="16"/>
  <c r="H21" i="15"/>
  <c r="G20" i="5"/>
  <c r="P20" i="5" s="1"/>
  <c r="Q20" i="5" s="1"/>
  <c r="N51" i="16"/>
  <c r="F32" i="5"/>
  <c r="R32" i="5" s="1"/>
  <c r="R30" i="5"/>
  <c r="H50" i="15"/>
  <c r="G50" i="5" s="1"/>
  <c r="F50" i="5"/>
  <c r="R50" i="5" s="1"/>
  <c r="N50" i="5"/>
  <c r="I15" i="15"/>
  <c r="I22" i="15" s="1"/>
  <c r="H13" i="5"/>
  <c r="H15" i="5" s="1"/>
  <c r="H22" i="5" s="1"/>
  <c r="H59" i="5" s="1"/>
  <c r="H28" i="15"/>
  <c r="G26" i="5"/>
  <c r="R19" i="5"/>
  <c r="F21" i="5"/>
  <c r="R21" i="5" s="1"/>
  <c r="H55" i="15"/>
  <c r="G57" i="15"/>
  <c r="G58" i="15" s="1"/>
  <c r="G59" i="15" s="1"/>
  <c r="F55" i="5"/>
  <c r="F57" i="5" s="1"/>
  <c r="G27" i="5"/>
  <c r="P27" i="5" s="1"/>
  <c r="Q27" i="5" s="1"/>
  <c r="H56" i="15"/>
  <c r="F56" i="5"/>
  <c r="J56" i="5"/>
  <c r="O57" i="16"/>
  <c r="O58" i="16" s="1"/>
  <c r="N57" i="16"/>
  <c r="N58" i="16" s="1"/>
  <c r="N59" i="16" s="1"/>
  <c r="R13" i="5"/>
  <c r="F15" i="5"/>
  <c r="H62" i="21"/>
  <c r="G17" i="6"/>
  <c r="P17" i="6" s="1"/>
  <c r="Q17" i="6" s="1"/>
  <c r="L16" i="12"/>
  <c r="L17" i="12"/>
  <c r="H62" i="7"/>
  <c r="G10" i="6"/>
  <c r="P10" i="6" s="1"/>
  <c r="Q10" i="6" s="1"/>
  <c r="T23" i="28"/>
  <c r="S27" i="28"/>
  <c r="T27" i="28" s="1"/>
  <c r="F62" i="1"/>
  <c r="A1" i="1" s="1"/>
  <c r="F62" i="7"/>
  <c r="A1" i="7" s="1"/>
  <c r="F62" i="21"/>
  <c r="A1" i="21" s="1"/>
  <c r="P9" i="6"/>
  <c r="R9" i="6"/>
  <c r="O12" i="6"/>
  <c r="P62" i="16"/>
  <c r="G13" i="6"/>
  <c r="P13" i="6" s="1"/>
  <c r="Q13" i="6" s="1"/>
  <c r="H62" i="17"/>
  <c r="F62" i="17" s="1"/>
  <c r="A1" i="17" s="1"/>
  <c r="F61" i="22"/>
  <c r="A1" i="22" s="1"/>
  <c r="P15" i="6"/>
  <c r="Q15" i="6" s="1"/>
  <c r="G15" i="5"/>
  <c r="P13" i="5"/>
  <c r="Q13" i="5" s="1"/>
  <c r="O11" i="6" l="1"/>
  <c r="P62" i="15"/>
  <c r="M12" i="6"/>
  <c r="N62" i="16"/>
  <c r="H62" i="18"/>
  <c r="G14" i="6"/>
  <c r="I62" i="16"/>
  <c r="H12" i="6"/>
  <c r="K51" i="15"/>
  <c r="J49" i="5"/>
  <c r="J51" i="5" s="1"/>
  <c r="P30" i="5"/>
  <c r="Q30" i="5" s="1"/>
  <c r="G32" i="5"/>
  <c r="P32" i="5" s="1"/>
  <c r="Q32" i="5" s="1"/>
  <c r="H22" i="15"/>
  <c r="N12" i="6"/>
  <c r="O62" i="16"/>
  <c r="H57" i="16"/>
  <c r="O58" i="15"/>
  <c r="O59" i="15" s="1"/>
  <c r="F22" i="5"/>
  <c r="R22" i="5" s="1"/>
  <c r="R15" i="5"/>
  <c r="K58" i="15"/>
  <c r="K59" i="15" s="1"/>
  <c r="G21" i="5"/>
  <c r="P21" i="5" s="1"/>
  <c r="Q21" i="5" s="1"/>
  <c r="P19" i="5"/>
  <c r="Q19" i="5" s="1"/>
  <c r="O34" i="6"/>
  <c r="O54" i="6" s="1"/>
  <c r="O10" i="12" s="1"/>
  <c r="O14" i="12" s="1"/>
  <c r="O16" i="12" s="1"/>
  <c r="O17" i="12" s="1"/>
  <c r="G62" i="15"/>
  <c r="F11" i="6"/>
  <c r="G28" i="5"/>
  <c r="P26" i="5"/>
  <c r="Q26" i="5" s="1"/>
  <c r="R28" i="5"/>
  <c r="F33" i="5"/>
  <c r="N62" i="18"/>
  <c r="F62" i="18" s="1"/>
  <c r="A1" i="18" s="1"/>
  <c r="M14" i="6"/>
  <c r="N58" i="15"/>
  <c r="N59" i="15" s="1"/>
  <c r="G56" i="5"/>
  <c r="H57" i="15"/>
  <c r="G55" i="5"/>
  <c r="H33" i="15"/>
  <c r="H44" i="15" s="1"/>
  <c r="H51" i="16"/>
  <c r="I58" i="15"/>
  <c r="I59" i="15" s="1"/>
  <c r="G58" i="16"/>
  <c r="G59" i="16" s="1"/>
  <c r="N57" i="5"/>
  <c r="R49" i="5"/>
  <c r="F51" i="5"/>
  <c r="R51" i="5" s="1"/>
  <c r="P50" i="5"/>
  <c r="Q50" i="5" s="1"/>
  <c r="N49" i="5"/>
  <c r="N51" i="5" s="1"/>
  <c r="N58" i="5" s="1"/>
  <c r="N59" i="5" s="1"/>
  <c r="H49" i="15"/>
  <c r="K59" i="16"/>
  <c r="J57" i="5"/>
  <c r="O51" i="5"/>
  <c r="O58" i="5" s="1"/>
  <c r="O59" i="5" s="1"/>
  <c r="G22" i="5"/>
  <c r="P15" i="5"/>
  <c r="Q15" i="5" s="1"/>
  <c r="Q9" i="6"/>
  <c r="M11" i="6" l="1"/>
  <c r="M34" i="6" s="1"/>
  <c r="M54" i="6" s="1"/>
  <c r="M10" i="12" s="1"/>
  <c r="M14" i="12" s="1"/>
  <c r="N62" i="15"/>
  <c r="F44" i="5"/>
  <c r="R44" i="5" s="1"/>
  <c r="R33" i="5"/>
  <c r="P28" i="5"/>
  <c r="Q28" i="5" s="1"/>
  <c r="G33" i="5"/>
  <c r="H58" i="16"/>
  <c r="H59" i="16" s="1"/>
  <c r="J58" i="5"/>
  <c r="J59" i="5" s="1"/>
  <c r="H51" i="15"/>
  <c r="G49" i="5"/>
  <c r="I62" i="15"/>
  <c r="H11" i="6"/>
  <c r="H34" i="6" s="1"/>
  <c r="H54" i="6" s="1"/>
  <c r="H10" i="12" s="1"/>
  <c r="H14" i="12" s="1"/>
  <c r="H58" i="15"/>
  <c r="R11" i="6"/>
  <c r="H59" i="15"/>
  <c r="P14" i="6"/>
  <c r="Q14" i="6" s="1"/>
  <c r="N11" i="6"/>
  <c r="N34" i="6" s="1"/>
  <c r="N54" i="6" s="1"/>
  <c r="N10" i="12" s="1"/>
  <c r="N14" i="12" s="1"/>
  <c r="N16" i="12" s="1"/>
  <c r="N17" i="12" s="1"/>
  <c r="O62" i="15"/>
  <c r="K62" i="16"/>
  <c r="J12" i="6"/>
  <c r="F12" i="6"/>
  <c r="R12" i="6" s="1"/>
  <c r="G62" i="16"/>
  <c r="G57" i="5"/>
  <c r="J11" i="6"/>
  <c r="J34" i="6" s="1"/>
  <c r="J54" i="6" s="1"/>
  <c r="J10" i="12" s="1"/>
  <c r="J14" i="12" s="1"/>
  <c r="K62" i="15"/>
  <c r="F58" i="5"/>
  <c r="F59" i="5" s="1"/>
  <c r="P22" i="5"/>
  <c r="Q22" i="5" s="1"/>
  <c r="H16" i="12" l="1"/>
  <c r="H17" i="12"/>
  <c r="G11" i="6"/>
  <c r="H62" i="15"/>
  <c r="F62" i="15" s="1"/>
  <c r="A1" i="15" s="1"/>
  <c r="F34" i="6"/>
  <c r="G12" i="6"/>
  <c r="P12" i="6" s="1"/>
  <c r="Q12" i="6" s="1"/>
  <c r="H62" i="16"/>
  <c r="F62" i="16" s="1"/>
  <c r="A1" i="16" s="1"/>
  <c r="G51" i="5"/>
  <c r="P51" i="5" s="1"/>
  <c r="Q51" i="5" s="1"/>
  <c r="P49" i="5"/>
  <c r="Q49" i="5" s="1"/>
  <c r="G44" i="5"/>
  <c r="P33" i="5"/>
  <c r="Q33" i="5" s="1"/>
  <c r="J16" i="12"/>
  <c r="J17" i="12"/>
  <c r="M16" i="12"/>
  <c r="M17" i="12" s="1"/>
  <c r="P44" i="5" l="1"/>
  <c r="Q44" i="5" s="1"/>
  <c r="P11" i="6"/>
  <c r="Q11" i="6" s="1"/>
  <c r="G34" i="6"/>
  <c r="R34" i="6"/>
  <c r="F54" i="6"/>
  <c r="P16" i="12"/>
  <c r="G58" i="5"/>
  <c r="G59" i="5" s="1"/>
  <c r="R54" i="6" l="1"/>
  <c r="F10" i="12"/>
  <c r="P34" i="6"/>
  <c r="Q34" i="6" s="1"/>
  <c r="G54" i="6"/>
  <c r="P54" i="6" l="1"/>
  <c r="Q54" i="6" s="1"/>
  <c r="G10" i="12"/>
  <c r="G59" i="6"/>
  <c r="R10" i="12"/>
  <c r="F14" i="12"/>
  <c r="R14" i="12" l="1"/>
  <c r="F16" i="12"/>
  <c r="R16" i="12" s="1"/>
  <c r="Q16" i="12" s="1"/>
  <c r="G14" i="10"/>
  <c r="G14" i="12"/>
  <c r="P10" i="12"/>
  <c r="Q10" i="12" s="1"/>
  <c r="G17" i="10" l="1"/>
  <c r="K17" i="10" s="1"/>
  <c r="K14" i="10"/>
  <c r="F17" i="12"/>
  <c r="R17" i="12" s="1"/>
  <c r="P14" i="12"/>
  <c r="Q14" i="12" s="1"/>
  <c r="G17" i="12"/>
  <c r="P17" i="12" s="1"/>
  <c r="L31" i="28"/>
  <c r="L32" i="28" s="1"/>
  <c r="Q17" i="12" l="1"/>
</calcChain>
</file>

<file path=xl/sharedStrings.xml><?xml version="1.0" encoding="utf-8"?>
<sst xmlns="http://schemas.openxmlformats.org/spreadsheetml/2006/main" count="2440" uniqueCount="239">
  <si>
    <t>MHSA</t>
  </si>
  <si>
    <t>Medi-Cal FFP</t>
  </si>
  <si>
    <t>Realignment</t>
  </si>
  <si>
    <t>County</t>
  </si>
  <si>
    <t>Other</t>
  </si>
  <si>
    <t>Contract Provider</t>
  </si>
  <si>
    <t>Total Mental Health Expenditures</t>
  </si>
  <si>
    <t>Total County</t>
  </si>
  <si>
    <t>Total Contract Provider</t>
  </si>
  <si>
    <t>Total FSP</t>
  </si>
  <si>
    <t>Client Housing</t>
  </si>
  <si>
    <t>Other Client Supports</t>
  </si>
  <si>
    <t>Outreach and Engagement (O&amp;E)</t>
  </si>
  <si>
    <t>Total O&amp;E</t>
  </si>
  <si>
    <t>Total Program 1</t>
  </si>
  <si>
    <t>Medicare</t>
  </si>
  <si>
    <t>Other Federal Funds</t>
  </si>
  <si>
    <t>County Funds</t>
  </si>
  <si>
    <t>Other State Funds</t>
  </si>
  <si>
    <t>(A)</t>
  </si>
  <si>
    <t>(B)</t>
  </si>
  <si>
    <t>(D)</t>
  </si>
  <si>
    <t>(E)</t>
  </si>
  <si>
    <t>(F)</t>
  </si>
  <si>
    <t>(G)</t>
  </si>
  <si>
    <t>(H)</t>
  </si>
  <si>
    <t>(I)</t>
  </si>
  <si>
    <t>(C)</t>
  </si>
  <si>
    <t>County:</t>
  </si>
  <si>
    <t>Date:</t>
  </si>
  <si>
    <t>Activity</t>
  </si>
  <si>
    <t>New Programs</t>
  </si>
  <si>
    <t>Total New Programs</t>
  </si>
  <si>
    <t>Existing Programs</t>
  </si>
  <si>
    <t>Total Existing Programs</t>
  </si>
  <si>
    <t>State General Fund</t>
  </si>
  <si>
    <t>Funding Source</t>
  </si>
  <si>
    <t>Personnel</t>
  </si>
  <si>
    <t>All Programs</t>
  </si>
  <si>
    <t>Total CSS Programs</t>
  </si>
  <si>
    <t>Operating Costs</t>
  </si>
  <si>
    <t>Total CSS</t>
  </si>
  <si>
    <t>City/County Allocated Administration</t>
  </si>
  <si>
    <t>Total CSS Administration</t>
  </si>
  <si>
    <t>CSS Programs:</t>
  </si>
  <si>
    <t>a/ Start-up and One-Time Implementation activities not identified with specific programs.</t>
  </si>
  <si>
    <t>b/ Enhancement of Local Infrastructure consistent with DMH Information Notice No.:06-13 (11/3/06)</t>
  </si>
  <si>
    <t>Funding Category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</si>
  <si>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</si>
  <si>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</si>
  <si>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</si>
  <si>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</si>
  <si>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</si>
  <si>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</si>
  <si>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</si>
  <si>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</si>
  <si>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</si>
  <si>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</si>
  <si>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Community Program Planning</t>
  </si>
  <si>
    <t>Evaluation</t>
  </si>
  <si>
    <t>Professional Services</t>
  </si>
  <si>
    <t>Administration</t>
  </si>
  <si>
    <t>Other Funds</t>
  </si>
  <si>
    <t>(J)</t>
  </si>
  <si>
    <t>Distributions from Department of Mental Health</t>
  </si>
  <si>
    <t>Interest Income Posted to MHS Fund</t>
  </si>
  <si>
    <t>Total Deposits</t>
  </si>
  <si>
    <t>Total CSS Evaluation</t>
  </si>
  <si>
    <t>MHSA Components</t>
  </si>
  <si>
    <t>Total MHSA Components</t>
  </si>
  <si>
    <t>Total County Mental Health Services</t>
  </si>
  <si>
    <t>Non-MHSA Mental Health Services</t>
  </si>
  <si>
    <t>MHSA Funds Subject to Reversion from Prior Fiscal Year</t>
  </si>
  <si>
    <t>Other Costs</t>
  </si>
  <si>
    <t>Total CPP</t>
  </si>
  <si>
    <t>Balance from SD/MC Cost Report-MH 1992 Summary</t>
  </si>
  <si>
    <t>Total MHSA Unspent Funds</t>
  </si>
  <si>
    <t>Total MHSA Unspent Funds Available from Prior Fiscal Years</t>
  </si>
  <si>
    <t>MHSA Unspent Funds Available from Prior Fiscal Years</t>
  </si>
  <si>
    <t>General System Development (GSD)</t>
  </si>
  <si>
    <t>Total GSD</t>
  </si>
  <si>
    <t>CSS Planning, Evaluation and Administration</t>
  </si>
  <si>
    <t>Planning</t>
  </si>
  <si>
    <t>Total CSS Planning</t>
  </si>
  <si>
    <t>Total CSS Planning, Evaluation and Admin.</t>
  </si>
  <si>
    <t xml:space="preserve">Full Service Partnership (FSP) </t>
  </si>
  <si>
    <t>Full Service Partnership (FSP)</t>
  </si>
  <si>
    <t>Program 10:</t>
  </si>
  <si>
    <t>Program 11</t>
  </si>
  <si>
    <t>Program 11:</t>
  </si>
  <si>
    <t>Program 12:</t>
  </si>
  <si>
    <t>Program 12</t>
  </si>
  <si>
    <t>Program 13:</t>
  </si>
  <si>
    <t>Program 13</t>
  </si>
  <si>
    <t>Program 14</t>
  </si>
  <si>
    <t>Program 14:</t>
  </si>
  <si>
    <t>Program 15:</t>
  </si>
  <si>
    <t>Program 15</t>
  </si>
  <si>
    <t>Total Program 15</t>
  </si>
  <si>
    <t>Total Program 14</t>
  </si>
  <si>
    <t>Total Program 13</t>
  </si>
  <si>
    <t>Total Program 12</t>
  </si>
  <si>
    <t>Total Program 11</t>
  </si>
  <si>
    <t>Actual</t>
  </si>
  <si>
    <t>Santa Cruz</t>
  </si>
  <si>
    <t>Community Gate</t>
  </si>
  <si>
    <t>Total</t>
  </si>
  <si>
    <t>County Personnel</t>
  </si>
  <si>
    <t>Contract Personnel</t>
  </si>
  <si>
    <t>Contract Other</t>
  </si>
  <si>
    <t>EPSDT</t>
  </si>
  <si>
    <t>Probation Gate</t>
  </si>
  <si>
    <t>Education Gate</t>
  </si>
  <si>
    <t>Special Focus - Family Partners Services</t>
  </si>
  <si>
    <t>Enhanced Crisis Response</t>
  </si>
  <si>
    <t>Consumer, Peer, and Family Services</t>
  </si>
  <si>
    <t>Community Support Services</t>
  </si>
  <si>
    <t>Person Centered Program of Mental Health Services and Supports</t>
  </si>
  <si>
    <t>1</t>
  </si>
  <si>
    <t>CP</t>
  </si>
  <si>
    <t>CO</t>
  </si>
  <si>
    <t>County Operating</t>
  </si>
  <si>
    <t>Medi-Cal</t>
  </si>
  <si>
    <t>Revenues</t>
  </si>
  <si>
    <t>Budget</t>
  </si>
  <si>
    <t>F</t>
  </si>
  <si>
    <t>S</t>
  </si>
  <si>
    <t>O</t>
  </si>
  <si>
    <t>Net</t>
  </si>
  <si>
    <t>Full Svc Ptshp</t>
  </si>
  <si>
    <t>Syst Development</t>
  </si>
  <si>
    <t>Other Rev</t>
  </si>
  <si>
    <t>Uld</t>
  </si>
  <si>
    <t>2</t>
  </si>
  <si>
    <t>3</t>
  </si>
  <si>
    <t>4</t>
  </si>
  <si>
    <t>5</t>
  </si>
  <si>
    <t>Co/Ko</t>
  </si>
  <si>
    <t>FCP</t>
  </si>
  <si>
    <t>MCAL</t>
  </si>
  <si>
    <t>KP</t>
  </si>
  <si>
    <t>KO</t>
  </si>
  <si>
    <t>FCO</t>
  </si>
  <si>
    <t>FKP</t>
  </si>
  <si>
    <t>FKO</t>
  </si>
  <si>
    <t>SCP</t>
  </si>
  <si>
    <t>SCO</t>
  </si>
  <si>
    <t>SKP</t>
  </si>
  <si>
    <t>SKO</t>
  </si>
  <si>
    <t>OCP</t>
  </si>
  <si>
    <t>OCO</t>
  </si>
  <si>
    <t>OKP</t>
  </si>
  <si>
    <t>OKO</t>
  </si>
  <si>
    <t>Control</t>
  </si>
  <si>
    <t>Child Welfare Services Gate</t>
  </si>
  <si>
    <t>6</t>
  </si>
  <si>
    <t>7</t>
  </si>
  <si>
    <t>8</t>
  </si>
  <si>
    <t>9</t>
  </si>
  <si>
    <t>Outreach &amp; Engagement</t>
  </si>
  <si>
    <t>x</t>
  </si>
  <si>
    <t>Worksheet</t>
  </si>
  <si>
    <t>Data from SD/MC Cost Report</t>
  </si>
  <si>
    <t>1p</t>
  </si>
  <si>
    <t xml:space="preserve">  contract provider</t>
  </si>
  <si>
    <t>2p</t>
  </si>
  <si>
    <t>3p</t>
  </si>
  <si>
    <t>4p</t>
  </si>
  <si>
    <t>5p</t>
  </si>
  <si>
    <t>6p</t>
  </si>
  <si>
    <t>7p</t>
  </si>
  <si>
    <t>8p</t>
  </si>
  <si>
    <t>9p</t>
  </si>
  <si>
    <t>10</t>
  </si>
  <si>
    <t>N/A</t>
  </si>
  <si>
    <t>Labor</t>
  </si>
  <si>
    <t>Mcal</t>
  </si>
  <si>
    <t>control</t>
  </si>
  <si>
    <t>*</t>
  </si>
  <si>
    <t>Report Date:</t>
  </si>
  <si>
    <t>County Of Santa Cruz</t>
  </si>
  <si>
    <t>HEALTH SERVICES AGENCY</t>
  </si>
  <si>
    <t>P.O. BOX 962, 1080 EMELINE AVENUE</t>
  </si>
  <si>
    <t>SANTA CRUZ, CA  95061</t>
  </si>
  <si>
    <t>(831) 454-4066     FAX:  (831)  454-4770</t>
  </si>
  <si>
    <t>ADMINISTRATION</t>
  </si>
  <si>
    <t>Please give me a call if you have any questions or need additional information.</t>
  </si>
  <si>
    <t>Sincerely,</t>
  </si>
  <si>
    <t>David McCollum</t>
  </si>
  <si>
    <t>Chief of Fiscal Services</t>
  </si>
  <si>
    <t>(831) 454-4324</t>
  </si>
  <si>
    <t>California Department of Mental Health</t>
  </si>
  <si>
    <t>County Contracts and Technical Assistance Unit</t>
  </si>
  <si>
    <t>1600 9th Street, Room 100</t>
  </si>
  <si>
    <t>Sacramento, CA  95814</t>
  </si>
  <si>
    <t>Dear Sirs,</t>
  </si>
  <si>
    <t>Rlgnmt</t>
  </si>
  <si>
    <t>column</t>
  </si>
  <si>
    <t>Fiscal Year 2007-08</t>
  </si>
  <si>
    <t>Annual Mental Health Services Act Revenue and Expenditure Report for Fiscal Year 2007-08
Identification of Unspent Funds</t>
  </si>
  <si>
    <t>Annual Mental Health Services Act Revenue and Expenditure Report for Fiscal Year 2007-08
County Summary</t>
  </si>
  <si>
    <t>Annual Mental Health Services Act Revenue and Expenditure Report for Fiscal Year 2007-08
Workforce Education and Training (WET) Summary</t>
  </si>
  <si>
    <t>WET Planning</t>
  </si>
  <si>
    <t>Total WET Planning</t>
  </si>
  <si>
    <t>WET Work Plans</t>
  </si>
  <si>
    <t>Total WET Work Plans</t>
  </si>
  <si>
    <t>Total Workforce Education and Training</t>
  </si>
  <si>
    <t>Annual Mental Health Services Act Revenue and Expenditure Report for Fiscal Year 2007-08
Community Services and Supports (CSS) Work Plan Summary</t>
  </si>
  <si>
    <t>Annual Mental Health Services Act Revenue and Expenditure Report for Fiscal Year 2007-08
Community Program Planning (CPP) Summary</t>
  </si>
  <si>
    <t>Annual Mental Health Services Act Revenue and Expenditure Report for Fiscal Year 2007-08
Community Services and Supports (CSS) Programs</t>
  </si>
  <si>
    <t>WET</t>
  </si>
  <si>
    <t>PEI</t>
  </si>
  <si>
    <t>Annual Mental Health Services Act Revenue and Expenditure Report for Fiscal Year 2007-08
Prevention and Early Intervention (PEI) Community Program Planning Summary</t>
  </si>
  <si>
    <t>Total PEI Community Program Planning</t>
  </si>
  <si>
    <t>County summary</t>
  </si>
  <si>
    <t>MH1992 Totals</t>
  </si>
  <si>
    <t>Deposits to Local MHS Fund during FY 2007-08</t>
  </si>
  <si>
    <t>MHSA FY 2007-08 Expenditures</t>
  </si>
  <si>
    <t>Contributions to Local Prudent Reserve in FY 07-08</t>
  </si>
  <si>
    <t>Work Plan 1</t>
  </si>
  <si>
    <t>Work Plan 2</t>
  </si>
  <si>
    <t>Work Plan 3</t>
  </si>
  <si>
    <t>Work Plan 4</t>
  </si>
  <si>
    <t>Work Plan 5</t>
  </si>
  <si>
    <t>Work Plan 6</t>
  </si>
  <si>
    <t>Work Plan 7</t>
  </si>
  <si>
    <t>Work Plan 8</t>
  </si>
  <si>
    <t>Work Plan 9</t>
  </si>
  <si>
    <t>Annual Mental Health Services Act Revenue and Expenditure Report for Fiscal Year 2007-08
Community Services and Supports (CSS) Summary</t>
  </si>
  <si>
    <t>Attn:  FY 07-08 MHSA Rev and Exp Report</t>
  </si>
  <si>
    <t>10/7/09</t>
  </si>
  <si>
    <t>H:\Acctg\2008\MHSA\CostReport\07-08 Annual Report2.xls</t>
  </si>
  <si>
    <t>Enclosed is our revised FY 07/08 MHSA Revenue and Expenditure Report.</t>
  </si>
  <si>
    <t>sd</t>
  </si>
  <si>
    <t>hf</t>
  </si>
  <si>
    <t>Sum of Sources</t>
  </si>
  <si>
    <t>check</t>
  </si>
  <si>
    <r>
      <t>Start-up and One-Time Implementation</t>
    </r>
    <r>
      <rPr>
        <vertAlign val="superscript"/>
        <sz val="12"/>
        <rFont val="Arial"/>
        <family val="2"/>
      </rPr>
      <t>a/</t>
    </r>
  </si>
  <si>
    <r>
      <t>Enhancement of Local Infrastructure</t>
    </r>
    <r>
      <rPr>
        <vertAlign val="superscript"/>
        <sz val="12"/>
        <rFont val="Arial"/>
        <family val="2"/>
      </rPr>
      <t>b/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</si>
</sst>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m/d/yy"/>
    <numFmt numFmtId="166" formatCode="&quot;$&quot;#,##0.00"/>
  </numFmts>
  <fonts count="14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Wingdings"/>
      <charset val="2"/>
    </font>
    <font>
      <sz val="12"/>
      <name val="Arial"/>
      <family val="2"/>
    </font>
    <font>
      <sz val="12"/>
      <name val="Bookman Old Style"/>
      <family val="1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sz val="12"/>
      <color indexed="1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quotePrefix="1" applyBorder="1"/>
    <xf numFmtId="0" fontId="0" fillId="0" borderId="0" xfId="0" applyAlignment="1">
      <alignment horizontal="fill"/>
    </xf>
    <xf numFmtId="0" fontId="0" fillId="2" borderId="0" xfId="0" applyFill="1"/>
    <xf numFmtId="166" fontId="0" fillId="0" borderId="0" xfId="0" applyNumberFormat="1"/>
    <xf numFmtId="166" fontId="1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 wrapText="1"/>
    </xf>
    <xf numFmtId="0" fontId="6" fillId="0" borderId="0" xfId="0" applyFont="1"/>
    <xf numFmtId="164" fontId="6" fillId="3" borderId="1" xfId="0" applyNumberFormat="1" applyFont="1" applyFill="1" applyBorder="1" applyProtection="1">
      <protection hidden="1"/>
    </xf>
    <xf numFmtId="164" fontId="6" fillId="3" borderId="2" xfId="0" applyNumberFormat="1" applyFont="1" applyFill="1" applyBorder="1" applyProtection="1">
      <protection hidden="1"/>
    </xf>
    <xf numFmtId="164" fontId="6" fillId="3" borderId="3" xfId="0" applyNumberFormat="1" applyFont="1" applyFill="1" applyBorder="1" applyProtection="1">
      <protection hidden="1"/>
    </xf>
    <xf numFmtId="164" fontId="6" fillId="3" borderId="4" xfId="0" applyNumberFormat="1" applyFont="1" applyFill="1" applyBorder="1" applyProtection="1">
      <protection hidden="1"/>
    </xf>
    <xf numFmtId="0" fontId="6" fillId="0" borderId="0" xfId="0" applyFont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6" fillId="0" borderId="5" xfId="0" applyFont="1" applyBorder="1"/>
    <xf numFmtId="0" fontId="6" fillId="0" borderId="0" xfId="0" quotePrefix="1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6" fillId="0" borderId="0" xfId="0" quotePrefix="1" applyFont="1"/>
    <xf numFmtId="0" fontId="6" fillId="0" borderId="6" xfId="0" applyFont="1" applyBorder="1"/>
    <xf numFmtId="0" fontId="6" fillId="0" borderId="0" xfId="0" applyFont="1" applyFill="1"/>
    <xf numFmtId="0" fontId="6" fillId="0" borderId="0" xfId="0" quotePrefix="1" applyFont="1" applyFill="1"/>
    <xf numFmtId="37" fontId="6" fillId="0" borderId="0" xfId="0" applyNumberFormat="1" applyFont="1" applyAlignment="1">
      <alignment horizontal="center"/>
    </xf>
    <xf numFmtId="37" fontId="6" fillId="0" borderId="0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Border="1"/>
    <xf numFmtId="14" fontId="8" fillId="0" borderId="0" xfId="0" quotePrefix="1" applyNumberFormat="1" applyFont="1"/>
    <xf numFmtId="37" fontId="3" fillId="0" borderId="0" xfId="0" applyNumberFormat="1" applyFont="1" applyAlignment="1">
      <alignment horizontal="center"/>
    </xf>
    <xf numFmtId="37" fontId="6" fillId="0" borderId="0" xfId="0" applyNumberFormat="1" applyFont="1"/>
    <xf numFmtId="0" fontId="6" fillId="4" borderId="0" xfId="0" applyFont="1" applyFill="1"/>
    <xf numFmtId="37" fontId="6" fillId="4" borderId="0" xfId="0" applyNumberFormat="1" applyFont="1" applyFill="1"/>
    <xf numFmtId="37" fontId="9" fillId="0" borderId="0" xfId="0" applyNumberFormat="1" applyFont="1"/>
    <xf numFmtId="0" fontId="6" fillId="4" borderId="7" xfId="0" applyFont="1" applyFill="1" applyBorder="1"/>
    <xf numFmtId="37" fontId="3" fillId="0" borderId="0" xfId="0" quotePrefix="1" applyNumberFormat="1" applyFont="1"/>
    <xf numFmtId="37" fontId="3" fillId="0" borderId="0" xfId="0" applyNumberFormat="1" applyFont="1"/>
    <xf numFmtId="37" fontId="6" fillId="0" borderId="8" xfId="0" applyNumberFormat="1" applyFont="1" applyBorder="1"/>
    <xf numFmtId="37" fontId="6" fillId="0" borderId="0" xfId="0" applyNumberFormat="1" applyFont="1" applyBorder="1"/>
    <xf numFmtId="37" fontId="9" fillId="0" borderId="0" xfId="0" applyNumberFormat="1" applyFont="1" applyFill="1"/>
    <xf numFmtId="0" fontId="3" fillId="0" borderId="6" xfId="0" applyFont="1" applyBorder="1" applyProtection="1">
      <protection locked="0"/>
    </xf>
    <xf numFmtId="0" fontId="6" fillId="0" borderId="0" xfId="0" applyFont="1" applyProtection="1">
      <protection locked="0"/>
    </xf>
    <xf numFmtId="0" fontId="3" fillId="0" borderId="6" xfId="0" applyFont="1" applyBorder="1" applyAlignment="1" applyProtection="1">
      <alignment horizontal="left"/>
      <protection locked="0"/>
    </xf>
    <xf numFmtId="165" fontId="3" fillId="0" borderId="6" xfId="0" applyNumberFormat="1" applyFont="1" applyBorder="1" applyAlignment="1" applyProtection="1">
      <alignment horizontal="right"/>
      <protection locked="0"/>
    </xf>
    <xf numFmtId="0" fontId="3" fillId="0" borderId="9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10" xfId="0" applyFont="1" applyBorder="1" applyProtection="1">
      <protection locked="0"/>
    </xf>
    <xf numFmtId="164" fontId="6" fillId="0" borderId="2" xfId="0" applyNumberFormat="1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164" fontId="6" fillId="3" borderId="1" xfId="0" applyNumberFormat="1" applyFont="1" applyFill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6" xfId="0" applyFont="1" applyBorder="1" applyProtection="1">
      <protection locked="0"/>
    </xf>
    <xf numFmtId="164" fontId="6" fillId="0" borderId="3" xfId="0" applyNumberFormat="1" applyFont="1" applyBorder="1" applyProtection="1">
      <protection locked="0"/>
    </xf>
    <xf numFmtId="164" fontId="6" fillId="0" borderId="3" xfId="0" applyNumberFormat="1" applyFont="1" applyFill="1" applyBorder="1" applyProtection="1">
      <protection locked="0"/>
    </xf>
    <xf numFmtId="0" fontId="3" fillId="0" borderId="17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164" fontId="6" fillId="0" borderId="4" xfId="0" applyNumberFormat="1" applyFont="1" applyBorder="1" applyProtection="1">
      <protection locked="0"/>
    </xf>
    <xf numFmtId="164" fontId="6" fillId="0" borderId="4" xfId="0" applyNumberFormat="1" applyFont="1" applyFill="1" applyBorder="1" applyProtection="1">
      <protection locked="0"/>
    </xf>
    <xf numFmtId="164" fontId="6" fillId="0" borderId="0" xfId="0" applyNumberFormat="1" applyFont="1" applyFill="1" applyBorder="1" applyProtection="1">
      <protection locked="0"/>
    </xf>
    <xf numFmtId="0" fontId="3" fillId="0" borderId="8" xfId="0" applyFont="1" applyBorder="1" applyProtection="1">
      <protection hidden="1"/>
    </xf>
    <xf numFmtId="0" fontId="6" fillId="0" borderId="0" xfId="0" applyFont="1" applyProtection="1"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166" fontId="6" fillId="0" borderId="0" xfId="0" applyNumberFormat="1" applyFont="1" applyProtection="1">
      <protection locked="0"/>
    </xf>
    <xf numFmtId="0" fontId="3" fillId="0" borderId="6" xfId="0" applyFont="1" applyBorder="1" applyAlignment="1" applyProtection="1">
      <alignment horizontal="right"/>
      <protection locked="0"/>
    </xf>
    <xf numFmtId="166" fontId="6" fillId="0" borderId="0" xfId="0" applyNumberFormat="1" applyFont="1" applyAlignment="1" applyProtection="1">
      <alignment horizontal="center" wrapText="1"/>
      <protection locked="0"/>
    </xf>
    <xf numFmtId="164" fontId="6" fillId="0" borderId="19" xfId="0" applyNumberFormat="1" applyFont="1" applyBorder="1" applyProtection="1">
      <protection locked="0"/>
    </xf>
    <xf numFmtId="0" fontId="6" fillId="0" borderId="9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164" fontId="6" fillId="0" borderId="2" xfId="0" applyNumberFormat="1" applyFont="1" applyFill="1" applyBorder="1" applyProtection="1">
      <protection locked="0"/>
    </xf>
    <xf numFmtId="0" fontId="6" fillId="0" borderId="11" xfId="0" applyFont="1" applyBorder="1" applyAlignment="1" applyProtection="1">
      <alignment horizontal="right"/>
      <protection locked="0"/>
    </xf>
    <xf numFmtId="0" fontId="3" fillId="0" borderId="20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6" fillId="2" borderId="10" xfId="0" applyFont="1" applyFill="1" applyBorder="1" applyProtection="1">
      <protection locked="0"/>
    </xf>
    <xf numFmtId="164" fontId="6" fillId="2" borderId="2" xfId="0" applyNumberFormat="1" applyFont="1" applyFill="1" applyBorder="1" applyProtection="1">
      <protection locked="0"/>
    </xf>
    <xf numFmtId="166" fontId="6" fillId="2" borderId="0" xfId="0" applyNumberFormat="1" applyFont="1" applyFill="1" applyProtection="1">
      <protection locked="0"/>
    </xf>
    <xf numFmtId="37" fontId="6" fillId="0" borderId="0" xfId="0" applyNumberFormat="1" applyFont="1" applyProtection="1">
      <protection locked="0"/>
    </xf>
    <xf numFmtId="37" fontId="6" fillId="0" borderId="0" xfId="0" applyNumberFormat="1" applyFont="1" applyFill="1" applyProtection="1">
      <protection locked="0"/>
    </xf>
    <xf numFmtId="37" fontId="6" fillId="0" borderId="6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66" fontId="6" fillId="0" borderId="0" xfId="0" applyNumberFormat="1" applyFont="1" applyAlignment="1" applyProtection="1">
      <alignment horizontal="center" vertical="center" wrapText="1"/>
      <protection locked="0"/>
    </xf>
    <xf numFmtId="166" fontId="6" fillId="0" borderId="0" xfId="0" applyNumberFormat="1" applyFont="1" applyProtection="1"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protection hidden="1"/>
    </xf>
    <xf numFmtId="0" fontId="6" fillId="0" borderId="20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23" xfId="0" applyFont="1" applyBorder="1" applyProtection="1">
      <protection locked="0"/>
    </xf>
    <xf numFmtId="164" fontId="6" fillId="0" borderId="24" xfId="0" applyNumberFormat="1" applyFont="1" applyBorder="1" applyProtection="1">
      <protection locked="0"/>
    </xf>
    <xf numFmtId="0" fontId="1" fillId="0" borderId="0" xfId="0" applyFont="1" applyAlignment="1" applyProtection="1">
      <alignment horizontal="center"/>
      <protection hidden="1"/>
    </xf>
    <xf numFmtId="0" fontId="3" fillId="0" borderId="20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164" fontId="6" fillId="0" borderId="9" xfId="0" applyNumberFormat="1" applyFont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18" xfId="0" applyFont="1" applyBorder="1" applyProtection="1">
      <protection hidden="1"/>
    </xf>
    <xf numFmtId="164" fontId="9" fillId="0" borderId="2" xfId="0" applyNumberFormat="1" applyFont="1" applyBorder="1" applyProtection="1">
      <protection locked="0"/>
    </xf>
    <xf numFmtId="164" fontId="9" fillId="0" borderId="1" xfId="0" applyNumberFormat="1" applyFont="1" applyBorder="1" applyProtection="1">
      <protection locked="0"/>
    </xf>
    <xf numFmtId="0" fontId="3" fillId="0" borderId="22" xfId="0" applyFont="1" applyBorder="1" applyProtection="1">
      <protection locked="0"/>
    </xf>
    <xf numFmtId="164" fontId="9" fillId="0" borderId="24" xfId="0" applyNumberFormat="1" applyFont="1" applyBorder="1" applyProtection="1"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166" fontId="3" fillId="0" borderId="6" xfId="0" applyNumberFormat="1" applyFont="1" applyBorder="1" applyAlignment="1" applyProtection="1">
      <alignment horizontal="right"/>
      <protection locked="0"/>
    </xf>
    <xf numFmtId="166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37" fontId="3" fillId="0" borderId="0" xfId="0" applyNumberFormat="1" applyFont="1" applyBorder="1" applyAlignment="1" applyProtection="1">
      <alignment horizontal="left"/>
      <protection locked="0"/>
    </xf>
    <xf numFmtId="166" fontId="6" fillId="0" borderId="19" xfId="0" applyNumberFormat="1" applyFont="1" applyBorder="1" applyProtection="1">
      <protection locked="0"/>
    </xf>
    <xf numFmtId="37" fontId="11" fillId="0" borderId="0" xfId="0" applyNumberFormat="1" applyFont="1" applyBorder="1" applyAlignment="1" applyProtection="1">
      <alignment horizontal="left" wrapText="1"/>
      <protection locked="0"/>
    </xf>
    <xf numFmtId="166" fontId="6" fillId="0" borderId="2" xfId="0" applyNumberFormat="1" applyFont="1" applyBorder="1" applyProtection="1">
      <protection locked="0"/>
    </xf>
    <xf numFmtId="37" fontId="6" fillId="0" borderId="0" xfId="0" applyNumberFormat="1" applyFont="1" applyBorder="1" applyProtection="1">
      <protection locked="0"/>
    </xf>
    <xf numFmtId="37" fontId="9" fillId="0" borderId="0" xfId="0" applyNumberFormat="1" applyFont="1" applyBorder="1" applyProtection="1">
      <protection locked="0"/>
    </xf>
    <xf numFmtId="37" fontId="9" fillId="0" borderId="2" xfId="0" applyNumberFormat="1" applyFont="1" applyBorder="1" applyProtection="1">
      <protection locked="0"/>
    </xf>
    <xf numFmtId="37" fontId="12" fillId="0" borderId="2" xfId="0" applyNumberFormat="1" applyFont="1" applyBorder="1" applyProtection="1">
      <protection locked="0"/>
    </xf>
    <xf numFmtId="166" fontId="9" fillId="0" borderId="2" xfId="0" applyNumberFormat="1" applyFont="1" applyBorder="1" applyProtection="1">
      <protection locked="0"/>
    </xf>
    <xf numFmtId="164" fontId="6" fillId="0" borderId="0" xfId="0" applyNumberFormat="1" applyFont="1" applyBorder="1" applyProtection="1">
      <protection locked="0"/>
    </xf>
    <xf numFmtId="164" fontId="6" fillId="0" borderId="12" xfId="0" applyNumberFormat="1" applyFont="1" applyBorder="1" applyProtection="1">
      <protection locked="0"/>
    </xf>
    <xf numFmtId="166" fontId="6" fillId="0" borderId="1" xfId="0" applyNumberFormat="1" applyFont="1" applyBorder="1" applyProtection="1">
      <protection locked="0"/>
    </xf>
    <xf numFmtId="37" fontId="11" fillId="0" borderId="0" xfId="0" applyNumberFormat="1" applyFont="1" applyBorder="1" applyAlignment="1" applyProtection="1">
      <alignment horizontal="left"/>
      <protection locked="0"/>
    </xf>
    <xf numFmtId="164" fontId="6" fillId="0" borderId="6" xfId="0" applyNumberFormat="1" applyFont="1" applyBorder="1" applyProtection="1">
      <protection locked="0"/>
    </xf>
    <xf numFmtId="166" fontId="6" fillId="0" borderId="24" xfId="0" applyNumberFormat="1" applyFont="1" applyBorder="1" applyProtection="1">
      <protection locked="0"/>
    </xf>
    <xf numFmtId="166" fontId="3" fillId="0" borderId="4" xfId="0" applyNumberFormat="1" applyFont="1" applyBorder="1" applyAlignment="1" applyProtection="1">
      <alignment horizontal="center" vertical="center" wrapText="1"/>
      <protection locked="0"/>
    </xf>
    <xf numFmtId="166" fontId="3" fillId="0" borderId="19" xfId="0" applyNumberFormat="1" applyFont="1" applyBorder="1" applyAlignment="1" applyProtection="1">
      <alignment horizontal="center" vertical="center"/>
      <protection locked="0"/>
    </xf>
    <xf numFmtId="37" fontId="6" fillId="0" borderId="0" xfId="0" applyNumberFormat="1" applyFont="1" applyProtection="1">
      <protection hidden="1"/>
    </xf>
    <xf numFmtId="164" fontId="6" fillId="0" borderId="6" xfId="0" applyNumberFormat="1" applyFont="1" applyBorder="1" applyProtection="1">
      <protection hidden="1"/>
    </xf>
    <xf numFmtId="37" fontId="3" fillId="0" borderId="0" xfId="0" applyNumberFormat="1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37" fontId="1" fillId="0" borderId="0" xfId="0" applyNumberFormat="1" applyFont="1" applyBorder="1" applyAlignment="1" applyProtection="1">
      <alignment horizontal="left"/>
      <protection locked="0"/>
    </xf>
    <xf numFmtId="37" fontId="2" fillId="0" borderId="0" xfId="0" applyNumberFormat="1" applyFont="1" applyBorder="1" applyAlignment="1" applyProtection="1">
      <alignment horizontal="left" wrapText="1"/>
      <protection locked="0"/>
    </xf>
    <xf numFmtId="37" fontId="4" fillId="0" borderId="0" xfId="0" applyNumberFormat="1" applyFont="1" applyBorder="1" applyProtection="1">
      <protection locked="0"/>
    </xf>
    <xf numFmtId="37" fontId="2" fillId="0" borderId="0" xfId="0" applyNumberFormat="1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37" fontId="0" fillId="0" borderId="0" xfId="0" applyNumberFormat="1" applyBorder="1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12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37" fontId="0" fillId="0" borderId="0" xfId="0" applyNumberFormat="1" applyProtection="1">
      <protection locked="0"/>
    </xf>
    <xf numFmtId="0" fontId="3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wrapText="1"/>
      <protection hidden="1"/>
    </xf>
    <xf numFmtId="0" fontId="1" fillId="0" borderId="0" xfId="0" applyFont="1" applyAlignment="1">
      <alignment horizontal="center" vertical="center"/>
    </xf>
    <xf numFmtId="37" fontId="6" fillId="0" borderId="0" xfId="0" applyNumberFormat="1" applyFont="1" applyAlignment="1" applyProtection="1">
      <alignment horizontal="center"/>
      <protection locked="0"/>
    </xf>
    <xf numFmtId="37" fontId="3" fillId="0" borderId="0" xfId="0" quotePrefix="1" applyNumberFormat="1" applyFont="1" applyProtection="1">
      <protection locked="0"/>
    </xf>
    <xf numFmtId="37" fontId="3" fillId="0" borderId="0" xfId="0" applyNumberFormat="1" applyFont="1" applyProtection="1">
      <protection locked="0"/>
    </xf>
    <xf numFmtId="37" fontId="6" fillId="0" borderId="8" xfId="0" applyNumberFormat="1" applyFont="1" applyBorder="1" applyProtection="1">
      <protection locked="0"/>
    </xf>
    <xf numFmtId="37" fontId="9" fillId="0" borderId="0" xfId="0" applyNumberFormat="1" applyFont="1" applyProtection="1"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10" xfId="0" applyFont="1" applyBorder="1" applyProtection="1"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6" fillId="0" borderId="8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11" fillId="0" borderId="25" xfId="0" applyFont="1" applyBorder="1" applyAlignment="1" applyProtection="1">
      <alignment horizontal="left"/>
      <protection locked="0"/>
    </xf>
    <xf numFmtId="0" fontId="11" fillId="0" borderId="26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11" fillId="0" borderId="10" xfId="0" applyFont="1" applyBorder="1" applyAlignment="1" applyProtection="1">
      <alignment horizontal="left" wrapText="1"/>
      <protection locked="0"/>
    </xf>
    <xf numFmtId="0" fontId="11" fillId="0" borderId="25" xfId="0" applyFont="1" applyBorder="1" applyAlignment="1" applyProtection="1">
      <alignment horizontal="left" wrapText="1"/>
      <protection locked="0"/>
    </xf>
    <xf numFmtId="0" fontId="11" fillId="0" borderId="26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37" fontId="8" fillId="0" borderId="7" xfId="0" applyNumberFormat="1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 wrapText="1"/>
      <protection locked="0"/>
    </xf>
    <xf numFmtId="37" fontId="8" fillId="0" borderId="7" xfId="0" applyNumberFormat="1" applyFont="1" applyBorder="1" applyAlignment="1" applyProtection="1">
      <alignment horizontal="left" wrapText="1"/>
      <protection locked="0"/>
    </xf>
    <xf numFmtId="0" fontId="8" fillId="0" borderId="7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center"/>
      <protection hidden="1"/>
    </xf>
    <xf numFmtId="37" fontId="3" fillId="0" borderId="0" xfId="0" applyNumberFormat="1" applyFont="1" applyAlignment="1" applyProtection="1">
      <alignment horizontal="center"/>
      <protection locked="0"/>
    </xf>
    <xf numFmtId="37" fontId="6" fillId="0" borderId="0" xfId="0" applyNumberFormat="1" applyFont="1" applyAlignment="1" applyProtection="1">
      <alignment horizontal="left"/>
      <protection locked="0"/>
    </xf>
    <xf numFmtId="37" fontId="13" fillId="0" borderId="0" xfId="0" applyNumberFormat="1" applyFont="1" applyBorder="1" applyProtection="1">
      <protection locked="0"/>
    </xf>
    <xf numFmtId="37" fontId="1" fillId="0" borderId="0" xfId="0" applyNumberFormat="1" applyFont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/>
    </xf>
    <xf numFmtId="37" fontId="6" fillId="0" borderId="2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33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</xdr:rowOff>
    </xdr:from>
    <xdr:to>
      <xdr:col>3</xdr:col>
      <xdr:colOff>190500</xdr:colOff>
      <xdr:row>8</xdr:row>
      <xdr:rowOff>95250</xdr:rowOff>
    </xdr:to>
    <xdr:pic>
      <xdr:nvPicPr>
        <xdr:cNvPr id="1296" name="Picture 1" descr="The Great Seal of the County of Santa Cruz " title="Seal of Santa Cruz County ">
          <a:extLst>
            <a:ext uri="{FF2B5EF4-FFF2-40B4-BE49-F238E27FC236}">
              <a16:creationId xmlns:a16="http://schemas.microsoft.com/office/drawing/2014/main" id="{0B5CDFE7-46BF-411D-9AFC-B61A9DBE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9525"/>
          <a:ext cx="1438275" cy="152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8"/>
  <sheetViews>
    <sheetView topLeftCell="A340" zoomScale="80" zoomScaleNormal="80" workbookViewId="0">
      <selection activeCell="L352" activeCellId="35" sqref="J52 L52:Q53 L58:Q59 L64:Q65 J88 L88:Q89 L94:Q95 L100:Q101 J124 L124:Q125 L130:Q131 L136:Q137 J160 L160:Q161 L166:Q167 L172:Q173 J196 L196:Q197 L202:Q203 L208:Q209 J232 L232:Q233 L238:Q239 L244:Q245 J268 L268:Q269 L274:Q275 L280:Q281 J304 L304:Q305 L310:Q311 L316:Q317 J340 L340:Q341 L346:Q347 L352:Q353"/>
    </sheetView>
  </sheetViews>
  <sheetFormatPr defaultColWidth="0" defaultRowHeight="15" zeroHeight="1" x14ac:dyDescent="0.2"/>
  <cols>
    <col min="1" max="1" width="2.5703125" style="16" customWidth="1"/>
    <col min="2" max="2" width="5.140625" style="16" bestFit="1" customWidth="1"/>
    <col min="3" max="3" width="3.7109375" style="16" bestFit="1" customWidth="1"/>
    <col min="4" max="4" width="10.85546875" style="16" customWidth="1"/>
    <col min="5" max="5" width="64.5703125" style="16" customWidth="1"/>
    <col min="6" max="6" width="1.85546875" style="16" customWidth="1"/>
    <col min="7" max="7" width="1.7109375" style="16" customWidth="1"/>
    <col min="8" max="8" width="16.140625" style="16" customWidth="1"/>
    <col min="9" max="9" width="12.140625" style="16" bestFit="1" customWidth="1"/>
    <col min="10" max="10" width="12.85546875" style="16" bestFit="1" customWidth="1"/>
    <col min="11" max="12" width="12.140625" style="16" bestFit="1" customWidth="1"/>
    <col min="13" max="13" width="10.28515625" style="16" bestFit="1" customWidth="1"/>
    <col min="14" max="14" width="12.140625" style="16" bestFit="1" customWidth="1"/>
    <col min="15" max="16" width="9.7109375" style="16" customWidth="1"/>
    <col min="17" max="17" width="13" style="16" customWidth="1"/>
    <col min="18" max="18" width="2.28515625" style="16" customWidth="1"/>
    <col min="19" max="19" width="12.140625" style="16" bestFit="1" customWidth="1"/>
    <col min="20" max="20" width="9.28515625" style="16" bestFit="1" customWidth="1"/>
    <col min="21" max="16384" width="0" style="16" hidden="1"/>
  </cols>
  <sheetData>
    <row r="1" spans="2:20" x14ac:dyDescent="0.2">
      <c r="B1" s="16" t="s">
        <v>231</v>
      </c>
      <c r="I1" s="31"/>
      <c r="J1" s="31"/>
      <c r="K1" s="32"/>
      <c r="L1" s="31"/>
      <c r="M1" s="32"/>
      <c r="N1" s="31"/>
      <c r="O1" s="31"/>
      <c r="P1" s="31"/>
      <c r="Q1" s="31"/>
    </row>
    <row r="2" spans="2:20" ht="15.75" x14ac:dyDescent="0.25">
      <c r="B2" s="33" t="s">
        <v>161</v>
      </c>
      <c r="K2" s="34" t="s">
        <v>179</v>
      </c>
      <c r="N2" s="35" t="s">
        <v>230</v>
      </c>
    </row>
    <row r="3" spans="2:20" ht="15.75" x14ac:dyDescent="0.25">
      <c r="B3" s="33"/>
      <c r="H3" s="33" t="s">
        <v>197</v>
      </c>
      <c r="I3" s="235" t="str">
        <f ca="1">MID(CELL("address",I1),2,1)</f>
        <v>I</v>
      </c>
      <c r="J3" s="235" t="str">
        <f ca="1">MID(CELL("address",J1),2,1)</f>
        <v>J</v>
      </c>
      <c r="K3" s="235" t="str">
        <f ca="1">MID(CELL("address",K1),2,1)</f>
        <v>K</v>
      </c>
      <c r="L3" s="235" t="str">
        <f t="shared" ref="L3:Q3" ca="1" si="0">MID(CELL("address",L1),2,1)</f>
        <v>L</v>
      </c>
      <c r="M3" s="235" t="str">
        <f t="shared" ca="1" si="0"/>
        <v>M</v>
      </c>
      <c r="N3" s="235" t="str">
        <f t="shared" ca="1" si="0"/>
        <v>N</v>
      </c>
      <c r="O3" s="235" t="str">
        <f t="shared" ca="1" si="0"/>
        <v>O</v>
      </c>
      <c r="P3" s="235" t="str">
        <f t="shared" ca="1" si="0"/>
        <v>P</v>
      </c>
      <c r="Q3" s="235" t="str">
        <f t="shared" ca="1" si="0"/>
        <v>Q</v>
      </c>
    </row>
    <row r="4" spans="2:20" ht="15.75" x14ac:dyDescent="0.25">
      <c r="B4" s="33" t="s">
        <v>162</v>
      </c>
      <c r="I4" s="36" t="s">
        <v>175</v>
      </c>
      <c r="J4" s="36" t="s">
        <v>4</v>
      </c>
      <c r="K4" s="36" t="s">
        <v>106</v>
      </c>
      <c r="L4" s="36" t="s">
        <v>0</v>
      </c>
      <c r="M4" s="36" t="s">
        <v>110</v>
      </c>
      <c r="N4" s="36" t="s">
        <v>176</v>
      </c>
      <c r="O4" s="36" t="s">
        <v>196</v>
      </c>
      <c r="P4" s="36" t="s">
        <v>3</v>
      </c>
      <c r="Q4" s="36" t="s">
        <v>4</v>
      </c>
    </row>
    <row r="5" spans="2:20" x14ac:dyDescent="0.2">
      <c r="B5" s="16" t="s">
        <v>118</v>
      </c>
      <c r="C5" s="16" t="s">
        <v>105</v>
      </c>
      <c r="I5" s="37">
        <v>87061</v>
      </c>
      <c r="J5" s="37">
        <v>0</v>
      </c>
      <c r="K5" s="37">
        <v>87061</v>
      </c>
      <c r="L5" s="37">
        <v>19296</v>
      </c>
      <c r="M5" s="37">
        <v>32099</v>
      </c>
      <c r="N5" s="37">
        <v>35666</v>
      </c>
      <c r="O5" s="37">
        <v>0</v>
      </c>
      <c r="P5" s="37">
        <v>0</v>
      </c>
      <c r="Q5" s="37">
        <v>0</v>
      </c>
    </row>
    <row r="6" spans="2:20" x14ac:dyDescent="0.2">
      <c r="B6" s="16" t="s">
        <v>163</v>
      </c>
      <c r="C6" s="16" t="s">
        <v>164</v>
      </c>
      <c r="I6" s="37">
        <v>0</v>
      </c>
      <c r="J6" s="37">
        <v>125879</v>
      </c>
      <c r="K6" s="37">
        <v>125879</v>
      </c>
      <c r="L6" s="37">
        <v>94890</v>
      </c>
      <c r="M6" s="37">
        <v>9259</v>
      </c>
      <c r="N6" s="37">
        <v>21730</v>
      </c>
      <c r="O6" s="37">
        <v>0</v>
      </c>
      <c r="P6" s="37">
        <v>0</v>
      </c>
      <c r="Q6" s="37">
        <v>0</v>
      </c>
      <c r="S6" s="37">
        <f>'CSS Pgm 1'!$H$61</f>
        <v>114186</v>
      </c>
      <c r="T6" s="37">
        <f>L5+L6-S6</f>
        <v>0</v>
      </c>
    </row>
    <row r="7" spans="2:20" x14ac:dyDescent="0.2">
      <c r="B7" s="38" t="s">
        <v>133</v>
      </c>
      <c r="C7" s="38" t="s">
        <v>111</v>
      </c>
      <c r="D7" s="38"/>
      <c r="E7" s="38"/>
      <c r="F7" s="38"/>
      <c r="G7" s="38"/>
      <c r="H7" s="38"/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</row>
    <row r="8" spans="2:20" x14ac:dyDescent="0.2">
      <c r="B8" s="38" t="s">
        <v>165</v>
      </c>
      <c r="C8" s="38" t="s">
        <v>164</v>
      </c>
      <c r="D8" s="38"/>
      <c r="E8" s="38"/>
      <c r="F8" s="38"/>
      <c r="G8" s="38"/>
      <c r="H8" s="38"/>
      <c r="I8" s="39">
        <v>0</v>
      </c>
      <c r="J8" s="39">
        <v>123464</v>
      </c>
      <c r="K8" s="39">
        <v>123464</v>
      </c>
      <c r="L8" s="39">
        <v>61125</v>
      </c>
      <c r="M8" s="39">
        <v>29529</v>
      </c>
      <c r="N8" s="39">
        <v>32810</v>
      </c>
      <c r="O8" s="39">
        <v>0</v>
      </c>
      <c r="P8" s="39">
        <v>0</v>
      </c>
      <c r="Q8" s="39">
        <v>0</v>
      </c>
      <c r="S8" s="37">
        <f>'CSS Pgm 2'!$H$61</f>
        <v>61125</v>
      </c>
      <c r="T8" s="37">
        <f>L7+L8-S8</f>
        <v>0</v>
      </c>
    </row>
    <row r="9" spans="2:20" x14ac:dyDescent="0.2">
      <c r="B9" s="16" t="s">
        <v>134</v>
      </c>
      <c r="C9" s="16" t="s">
        <v>154</v>
      </c>
      <c r="I9" s="37">
        <v>354335</v>
      </c>
      <c r="J9" s="37">
        <v>0</v>
      </c>
      <c r="K9" s="37">
        <v>354335</v>
      </c>
      <c r="L9" s="37">
        <v>22331</v>
      </c>
      <c r="M9" s="37">
        <v>157265</v>
      </c>
      <c r="N9" s="37">
        <v>174739</v>
      </c>
      <c r="O9" s="37">
        <v>0</v>
      </c>
      <c r="P9" s="37">
        <v>0</v>
      </c>
      <c r="Q9" s="37">
        <v>0</v>
      </c>
    </row>
    <row r="10" spans="2:20" x14ac:dyDescent="0.2">
      <c r="B10" s="16" t="s">
        <v>166</v>
      </c>
      <c r="C10" s="16" t="s">
        <v>164</v>
      </c>
      <c r="I10" s="37">
        <v>0</v>
      </c>
      <c r="J10" s="37">
        <v>34888</v>
      </c>
      <c r="K10" s="37">
        <v>34888</v>
      </c>
      <c r="L10" s="37">
        <v>17750</v>
      </c>
      <c r="M10" s="37">
        <v>8118</v>
      </c>
      <c r="N10" s="37">
        <v>9020</v>
      </c>
      <c r="O10" s="37">
        <v>0</v>
      </c>
      <c r="P10" s="37">
        <v>0</v>
      </c>
      <c r="Q10" s="37">
        <v>0</v>
      </c>
      <c r="S10" s="37">
        <f>'CSS Pgm 3'!$H$61</f>
        <v>40081</v>
      </c>
      <c r="T10" s="37">
        <f>L9+L10-S10</f>
        <v>0</v>
      </c>
    </row>
    <row r="11" spans="2:20" x14ac:dyDescent="0.2">
      <c r="B11" s="38" t="s">
        <v>135</v>
      </c>
      <c r="C11" s="38" t="s">
        <v>112</v>
      </c>
      <c r="D11" s="38"/>
      <c r="E11" s="38"/>
      <c r="F11" s="38"/>
      <c r="G11" s="38"/>
      <c r="H11" s="38"/>
      <c r="I11" s="39">
        <v>45713</v>
      </c>
      <c r="J11" s="39">
        <v>0</v>
      </c>
      <c r="K11" s="39">
        <v>45713</v>
      </c>
      <c r="L11" s="39">
        <v>45522</v>
      </c>
      <c r="M11" s="39">
        <v>90</v>
      </c>
      <c r="N11" s="39">
        <v>101</v>
      </c>
      <c r="O11" s="39">
        <v>0</v>
      </c>
      <c r="P11" s="39">
        <v>0</v>
      </c>
      <c r="Q11" s="39">
        <v>0</v>
      </c>
    </row>
    <row r="12" spans="2:20" x14ac:dyDescent="0.2">
      <c r="B12" s="38" t="s">
        <v>167</v>
      </c>
      <c r="C12" s="38" t="s">
        <v>164</v>
      </c>
      <c r="D12" s="38"/>
      <c r="E12" s="38"/>
      <c r="F12" s="38"/>
      <c r="G12" s="38"/>
      <c r="H12" s="38"/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S12" s="37">
        <f>'CSS Pgm 4'!$H$61</f>
        <v>45522</v>
      </c>
      <c r="T12" s="37">
        <f>L11+L12-S12</f>
        <v>0</v>
      </c>
    </row>
    <row r="13" spans="2:20" x14ac:dyDescent="0.2">
      <c r="B13" s="16" t="s">
        <v>136</v>
      </c>
      <c r="C13" s="16" t="s">
        <v>113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</row>
    <row r="14" spans="2:20" x14ac:dyDescent="0.2">
      <c r="B14" s="16" t="s">
        <v>168</v>
      </c>
      <c r="C14" s="16" t="s">
        <v>164</v>
      </c>
      <c r="I14" s="37">
        <v>0</v>
      </c>
      <c r="J14" s="37">
        <v>103781</v>
      </c>
      <c r="K14" s="37">
        <v>103781</v>
      </c>
      <c r="L14" s="37">
        <v>95203</v>
      </c>
      <c r="M14" s="37">
        <v>4063</v>
      </c>
      <c r="N14" s="37">
        <v>4515</v>
      </c>
      <c r="O14" s="37">
        <v>0</v>
      </c>
      <c r="P14" s="37">
        <v>0</v>
      </c>
      <c r="Q14" s="37">
        <v>0</v>
      </c>
      <c r="S14" s="37">
        <f>'CSS Pgm 5'!$H$61</f>
        <v>95203</v>
      </c>
      <c r="T14" s="37">
        <f>L13+L14-S14</f>
        <v>0</v>
      </c>
    </row>
    <row r="15" spans="2:20" x14ac:dyDescent="0.2">
      <c r="B15" s="38" t="s">
        <v>155</v>
      </c>
      <c r="C15" s="38" t="s">
        <v>114</v>
      </c>
      <c r="D15" s="38"/>
      <c r="E15" s="38"/>
      <c r="F15" s="38"/>
      <c r="G15" s="38"/>
      <c r="H15" s="38"/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</row>
    <row r="16" spans="2:20" x14ac:dyDescent="0.2">
      <c r="B16" s="38" t="s">
        <v>169</v>
      </c>
      <c r="C16" s="38" t="s">
        <v>164</v>
      </c>
      <c r="D16" s="38"/>
      <c r="E16" s="38"/>
      <c r="F16" s="38"/>
      <c r="G16" s="38"/>
      <c r="H16" s="38"/>
      <c r="I16" s="39">
        <v>0</v>
      </c>
      <c r="J16" s="39">
        <v>870883</v>
      </c>
      <c r="K16" s="39">
        <v>870883</v>
      </c>
      <c r="L16" s="39">
        <v>548396</v>
      </c>
      <c r="M16" s="39">
        <v>0</v>
      </c>
      <c r="N16" s="39">
        <v>322487</v>
      </c>
      <c r="O16" s="39">
        <v>0</v>
      </c>
      <c r="P16" s="39">
        <v>0</v>
      </c>
      <c r="Q16" s="39">
        <v>0</v>
      </c>
      <c r="S16" s="37">
        <f>'CSS Pgm 6'!$H$61</f>
        <v>548396</v>
      </c>
      <c r="T16" s="37">
        <f>L15+L16-S16</f>
        <v>0</v>
      </c>
    </row>
    <row r="17" spans="2:20" x14ac:dyDescent="0.2">
      <c r="B17" s="16" t="s">
        <v>156</v>
      </c>
      <c r="C17" s="16" t="s">
        <v>115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</row>
    <row r="18" spans="2:20" x14ac:dyDescent="0.2">
      <c r="B18" s="16" t="s">
        <v>170</v>
      </c>
      <c r="C18" s="16" t="s">
        <v>164</v>
      </c>
      <c r="I18" s="37">
        <v>0</v>
      </c>
      <c r="J18" s="37">
        <v>551938</v>
      </c>
      <c r="K18" s="37">
        <v>551938</v>
      </c>
      <c r="L18" s="37">
        <v>489561</v>
      </c>
      <c r="M18" s="37">
        <v>0</v>
      </c>
      <c r="N18" s="37">
        <v>62377</v>
      </c>
      <c r="O18" s="37">
        <v>0</v>
      </c>
      <c r="P18" s="37">
        <v>0</v>
      </c>
      <c r="Q18" s="37">
        <v>0</v>
      </c>
      <c r="S18" s="37">
        <f>'CSS Pgm 7'!$H$61</f>
        <v>489561</v>
      </c>
      <c r="T18" s="37">
        <f>L17+L18-S18</f>
        <v>0</v>
      </c>
    </row>
    <row r="19" spans="2:20" x14ac:dyDescent="0.2">
      <c r="B19" s="38" t="s">
        <v>157</v>
      </c>
      <c r="C19" s="38" t="s">
        <v>116</v>
      </c>
      <c r="D19" s="38"/>
      <c r="E19" s="38"/>
      <c r="F19" s="38"/>
      <c r="G19" s="38"/>
      <c r="H19" s="38"/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</row>
    <row r="20" spans="2:20" x14ac:dyDescent="0.2">
      <c r="B20" s="38" t="s">
        <v>171</v>
      </c>
      <c r="C20" s="38" t="s">
        <v>164</v>
      </c>
      <c r="D20" s="38"/>
      <c r="E20" s="38"/>
      <c r="F20" s="38"/>
      <c r="G20" s="38"/>
      <c r="H20" s="38"/>
      <c r="I20" s="39">
        <v>0</v>
      </c>
      <c r="J20" s="39">
        <v>236328</v>
      </c>
      <c r="K20" s="39">
        <v>236328</v>
      </c>
      <c r="L20" s="39">
        <v>186796</v>
      </c>
      <c r="M20" s="39">
        <v>0</v>
      </c>
      <c r="N20" s="39">
        <v>49532</v>
      </c>
      <c r="O20" s="39">
        <v>0</v>
      </c>
      <c r="P20" s="39">
        <v>0</v>
      </c>
      <c r="Q20" s="39">
        <v>0</v>
      </c>
      <c r="S20" s="37">
        <f>'CSS Pgm 8'!$H$61</f>
        <v>186796</v>
      </c>
      <c r="T20" s="37">
        <f>L19+L20-S20</f>
        <v>0</v>
      </c>
    </row>
    <row r="21" spans="2:20" x14ac:dyDescent="0.2">
      <c r="B21" s="16" t="s">
        <v>158</v>
      </c>
      <c r="C21" s="16" t="s">
        <v>117</v>
      </c>
      <c r="I21" s="37">
        <v>1490009</v>
      </c>
      <c r="J21" s="37">
        <v>345298</v>
      </c>
      <c r="K21" s="37">
        <v>1835307</v>
      </c>
      <c r="L21" s="37">
        <v>1248086</v>
      </c>
      <c r="M21" s="37">
        <v>0</v>
      </c>
      <c r="N21" s="37">
        <v>587221</v>
      </c>
      <c r="O21" s="37">
        <v>0</v>
      </c>
      <c r="P21" s="37">
        <v>0</v>
      </c>
      <c r="Q21" s="37">
        <v>0</v>
      </c>
    </row>
    <row r="22" spans="2:20" x14ac:dyDescent="0.2">
      <c r="B22" s="16" t="s">
        <v>172</v>
      </c>
      <c r="C22" s="16" t="s">
        <v>164</v>
      </c>
      <c r="I22" s="37">
        <v>0</v>
      </c>
      <c r="J22" s="37">
        <v>667899</v>
      </c>
      <c r="K22" s="37">
        <v>667899</v>
      </c>
      <c r="L22" s="37">
        <v>601623</v>
      </c>
      <c r="M22" s="37">
        <v>0</v>
      </c>
      <c r="N22" s="37">
        <v>66276</v>
      </c>
      <c r="O22" s="37">
        <v>0</v>
      </c>
      <c r="P22" s="37">
        <v>0</v>
      </c>
      <c r="Q22" s="37">
        <v>0</v>
      </c>
      <c r="S22" s="37">
        <f>'CSS Pgm 9'!$H$61</f>
        <v>1849709</v>
      </c>
      <c r="T22" s="37">
        <f>L21+L22-S22</f>
        <v>0</v>
      </c>
    </row>
    <row r="23" spans="2:20" x14ac:dyDescent="0.2">
      <c r="B23" s="38" t="s">
        <v>173</v>
      </c>
      <c r="C23" s="38" t="s">
        <v>61</v>
      </c>
      <c r="D23" s="38"/>
      <c r="E23" s="38"/>
      <c r="F23" s="38"/>
      <c r="G23" s="38"/>
      <c r="H23" s="38"/>
      <c r="I23" s="39">
        <v>439279</v>
      </c>
      <c r="J23" s="39">
        <v>563950</v>
      </c>
      <c r="K23" s="39">
        <v>1003229</v>
      </c>
      <c r="L23" s="39">
        <v>553770</v>
      </c>
      <c r="M23" s="39">
        <v>3299</v>
      </c>
      <c r="N23" s="39">
        <v>446160</v>
      </c>
      <c r="O23" s="39">
        <v>0</v>
      </c>
      <c r="P23" s="39">
        <v>0</v>
      </c>
      <c r="Q23" s="39">
        <v>0</v>
      </c>
      <c r="S23" s="37">
        <f>'CSS Summary'!G53</f>
        <v>553770</v>
      </c>
      <c r="T23" s="37">
        <f>L23-S23</f>
        <v>0</v>
      </c>
    </row>
    <row r="24" spans="2:20" x14ac:dyDescent="0.2">
      <c r="B24" s="16" t="s">
        <v>210</v>
      </c>
      <c r="I24" s="37">
        <v>0</v>
      </c>
      <c r="J24" s="37">
        <v>24340</v>
      </c>
      <c r="K24" s="37">
        <v>24340</v>
      </c>
      <c r="L24" s="37">
        <v>6201</v>
      </c>
      <c r="M24" s="37">
        <v>0</v>
      </c>
      <c r="N24" s="37">
        <v>18139</v>
      </c>
      <c r="O24" s="37">
        <v>0</v>
      </c>
      <c r="P24" s="37">
        <v>0</v>
      </c>
      <c r="Q24" s="37">
        <v>0</v>
      </c>
      <c r="S24" s="37">
        <f>'WET Summary'!G22</f>
        <v>6201</v>
      </c>
      <c r="T24" s="37">
        <f>L24-S24</f>
        <v>0</v>
      </c>
    </row>
    <row r="25" spans="2:20" x14ac:dyDescent="0.2">
      <c r="B25" s="38" t="s">
        <v>211</v>
      </c>
      <c r="C25" s="38"/>
      <c r="D25" s="38"/>
      <c r="E25" s="38"/>
      <c r="F25" s="38"/>
      <c r="G25" s="38"/>
      <c r="H25" s="38"/>
      <c r="I25" s="39">
        <v>0</v>
      </c>
      <c r="J25" s="39">
        <v>46229</v>
      </c>
      <c r="K25" s="39">
        <v>46229</v>
      </c>
      <c r="L25" s="39">
        <v>11601</v>
      </c>
      <c r="M25" s="39">
        <v>0</v>
      </c>
      <c r="N25" s="39">
        <v>34628</v>
      </c>
      <c r="O25" s="39">
        <v>0</v>
      </c>
      <c r="P25" s="39">
        <v>0</v>
      </c>
      <c r="Q25" s="39">
        <v>0</v>
      </c>
      <c r="S25" s="37">
        <f>PEI!G10</f>
        <v>11601</v>
      </c>
      <c r="T25" s="37">
        <f>L25-S25</f>
        <v>0</v>
      </c>
    </row>
    <row r="26" spans="2:20" x14ac:dyDescent="0.2">
      <c r="B26" s="16" t="s">
        <v>174</v>
      </c>
      <c r="I26" s="37"/>
      <c r="J26" s="37"/>
      <c r="K26" s="37"/>
      <c r="L26" s="37">
        <v>2</v>
      </c>
      <c r="M26" s="37"/>
      <c r="N26" s="37"/>
    </row>
    <row r="27" spans="2:20" x14ac:dyDescent="0.2">
      <c r="B27" s="16" t="s">
        <v>106</v>
      </c>
      <c r="I27" s="40">
        <f t="shared" ref="I27:N27" si="1">SUM(I4:I26)</f>
        <v>2416397</v>
      </c>
      <c r="J27" s="40">
        <f t="shared" si="1"/>
        <v>3694877</v>
      </c>
      <c r="K27" s="40">
        <f t="shared" si="1"/>
        <v>6111274</v>
      </c>
      <c r="L27" s="40">
        <f>SUM(L4:L26)</f>
        <v>4002153</v>
      </c>
      <c r="M27" s="40">
        <f t="shared" si="1"/>
        <v>243722</v>
      </c>
      <c r="N27" s="40">
        <f t="shared" si="1"/>
        <v>1865401</v>
      </c>
      <c r="O27" s="40">
        <f>SUM(O4:O26)</f>
        <v>0</v>
      </c>
      <c r="P27" s="40">
        <f>SUM(P4:P26)</f>
        <v>0</v>
      </c>
      <c r="Q27" s="40">
        <f>SUM(Q4:Q26)</f>
        <v>0</v>
      </c>
      <c r="S27" s="40">
        <f>SUM(S4:S26)</f>
        <v>4002151</v>
      </c>
      <c r="T27" s="37">
        <f>L27-S27</f>
        <v>2</v>
      </c>
    </row>
    <row r="28" spans="2:20" x14ac:dyDescent="0.2">
      <c r="B28" s="16" t="s">
        <v>177</v>
      </c>
      <c r="I28" s="37"/>
      <c r="J28" s="37"/>
      <c r="K28" s="37"/>
      <c r="L28" s="37">
        <v>4002153.4567868141</v>
      </c>
      <c r="M28" s="37"/>
      <c r="N28" s="37"/>
      <c r="O28" s="37"/>
      <c r="P28" s="37"/>
      <c r="Q28" s="37"/>
    </row>
    <row r="29" spans="2:20" x14ac:dyDescent="0.2">
      <c r="B29" s="16" t="s">
        <v>132</v>
      </c>
      <c r="I29" s="37"/>
      <c r="J29" s="37"/>
      <c r="K29" s="37"/>
      <c r="L29" s="37">
        <f>L27-L28</f>
        <v>-0.45678681414574385</v>
      </c>
      <c r="M29" s="37"/>
      <c r="N29" s="37"/>
      <c r="O29" s="37"/>
      <c r="P29" s="37"/>
      <c r="Q29" s="37"/>
    </row>
    <row r="30" spans="2:20" x14ac:dyDescent="0.2">
      <c r="I30" s="37"/>
      <c r="J30" s="37"/>
      <c r="K30" s="37"/>
      <c r="L30" s="37"/>
      <c r="M30" s="37"/>
      <c r="N30" s="37"/>
      <c r="O30" s="37"/>
      <c r="P30" s="37"/>
      <c r="Q30" s="37"/>
    </row>
    <row r="31" spans="2:20" ht="15.75" x14ac:dyDescent="0.25">
      <c r="B31" s="33" t="s">
        <v>214</v>
      </c>
      <c r="L31" s="37">
        <f>'County Summary'!G14</f>
        <v>4002151.0000860561</v>
      </c>
    </row>
    <row r="32" spans="2:20" ht="15.75" x14ac:dyDescent="0.25">
      <c r="B32" s="33" t="s">
        <v>132</v>
      </c>
      <c r="L32" s="37">
        <f>L31-L28</f>
        <v>-2.4567007580772042</v>
      </c>
    </row>
    <row r="33" spans="1:18" ht="15.75" x14ac:dyDescent="0.25">
      <c r="B33" s="33"/>
    </row>
    <row r="34" spans="1:18" x14ac:dyDescent="0.2">
      <c r="B34" s="41" t="s">
        <v>160</v>
      </c>
      <c r="C34" s="41" t="s">
        <v>160</v>
      </c>
      <c r="D34" s="41" t="s">
        <v>160</v>
      </c>
      <c r="E34" s="41" t="s">
        <v>160</v>
      </c>
      <c r="F34" s="41" t="s">
        <v>160</v>
      </c>
      <c r="G34" s="41" t="s">
        <v>160</v>
      </c>
      <c r="H34" s="41" t="s">
        <v>160</v>
      </c>
      <c r="I34" s="41" t="s">
        <v>160</v>
      </c>
      <c r="J34" s="41" t="s">
        <v>160</v>
      </c>
      <c r="K34" s="41" t="s">
        <v>160</v>
      </c>
      <c r="L34" s="41" t="s">
        <v>160</v>
      </c>
      <c r="M34" s="41" t="s">
        <v>160</v>
      </c>
      <c r="N34" s="41" t="s">
        <v>160</v>
      </c>
      <c r="O34" s="41" t="s">
        <v>160</v>
      </c>
      <c r="P34" s="41" t="s">
        <v>160</v>
      </c>
      <c r="Q34" s="41" t="s">
        <v>160</v>
      </c>
      <c r="R34" s="41" t="s">
        <v>160</v>
      </c>
    </row>
    <row r="35" spans="1:18" x14ac:dyDescent="0.2"/>
    <row r="36" spans="1:18" x14ac:dyDescent="0.2">
      <c r="A36" s="16" t="s">
        <v>178</v>
      </c>
      <c r="B36" s="16" t="str">
        <f>$B$1</f>
        <v>H:\Acctg\2008\MHSA\CostReport\07-08 Annual Report2.xls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8" ht="15.75" x14ac:dyDescent="0.25">
      <c r="B37" s="33" t="str">
        <f>$B$2</f>
        <v>Worksheet</v>
      </c>
      <c r="C37" s="33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8" x14ac:dyDescent="0.2"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8" ht="15.75" x14ac:dyDescent="0.25">
      <c r="C39" s="42" t="s">
        <v>118</v>
      </c>
      <c r="D39" s="43" t="s">
        <v>105</v>
      </c>
      <c r="E39" s="37"/>
      <c r="F39" s="31"/>
      <c r="H39" s="31" t="s">
        <v>124</v>
      </c>
      <c r="I39" s="31" t="s">
        <v>103</v>
      </c>
      <c r="J39" s="31" t="s">
        <v>137</v>
      </c>
      <c r="L39" s="31" t="s">
        <v>0</v>
      </c>
      <c r="M39" s="31" t="s">
        <v>110</v>
      </c>
      <c r="N39" s="31" t="s">
        <v>122</v>
      </c>
      <c r="O39" s="31" t="s">
        <v>196</v>
      </c>
      <c r="P39" s="31" t="s">
        <v>3</v>
      </c>
      <c r="Q39" s="31" t="s">
        <v>131</v>
      </c>
    </row>
    <row r="40" spans="1:18" x14ac:dyDescent="0.2">
      <c r="C40" s="37" t="s">
        <v>119</v>
      </c>
      <c r="D40" s="37" t="s">
        <v>107</v>
      </c>
      <c r="E40" s="37"/>
      <c r="H40" s="37">
        <v>187350</v>
      </c>
      <c r="I40" s="40">
        <f>I5</f>
        <v>87061</v>
      </c>
      <c r="J40" s="37"/>
      <c r="M40" s="37"/>
      <c r="N40" s="37"/>
      <c r="Q40" s="37"/>
    </row>
    <row r="41" spans="1:18" x14ac:dyDescent="0.2">
      <c r="C41" s="37" t="s">
        <v>120</v>
      </c>
      <c r="D41" s="37" t="s">
        <v>121</v>
      </c>
      <c r="E41" s="37"/>
      <c r="H41" s="37">
        <v>13913</v>
      </c>
      <c r="I41" s="40">
        <f>J5</f>
        <v>0</v>
      </c>
      <c r="J41" s="37">
        <f>I40+I41+0.00001</f>
        <v>87061.000010000003</v>
      </c>
      <c r="L41" s="40">
        <f t="shared" ref="L41:Q41" si="2">L5</f>
        <v>19296</v>
      </c>
      <c r="M41" s="40">
        <f t="shared" si="2"/>
        <v>32099</v>
      </c>
      <c r="N41" s="40">
        <f t="shared" si="2"/>
        <v>35666</v>
      </c>
      <c r="O41" s="40">
        <f t="shared" si="2"/>
        <v>0</v>
      </c>
      <c r="P41" s="40">
        <f t="shared" si="2"/>
        <v>0</v>
      </c>
      <c r="Q41" s="40">
        <f t="shared" si="2"/>
        <v>0</v>
      </c>
    </row>
    <row r="42" spans="1:18" x14ac:dyDescent="0.2">
      <c r="C42" s="37" t="s">
        <v>140</v>
      </c>
      <c r="D42" s="37" t="s">
        <v>108</v>
      </c>
      <c r="E42" s="37"/>
      <c r="H42" s="37">
        <v>0</v>
      </c>
      <c r="I42" s="40">
        <f>I6</f>
        <v>0</v>
      </c>
      <c r="J42" s="37"/>
      <c r="M42" s="37"/>
      <c r="N42" s="37"/>
      <c r="O42" s="37"/>
      <c r="P42" s="37"/>
      <c r="Q42" s="37"/>
    </row>
    <row r="43" spans="1:18" x14ac:dyDescent="0.2">
      <c r="C43" s="37" t="s">
        <v>141</v>
      </c>
      <c r="D43" s="37" t="s">
        <v>109</v>
      </c>
      <c r="E43" s="37"/>
      <c r="H43" s="37">
        <v>200000</v>
      </c>
      <c r="I43" s="40">
        <f>J6</f>
        <v>125879</v>
      </c>
      <c r="J43" s="37">
        <f>I42+I43+0.00001</f>
        <v>125879.00001</v>
      </c>
      <c r="L43" s="40">
        <f t="shared" ref="L43:Q43" si="3">L6</f>
        <v>94890</v>
      </c>
      <c r="M43" s="40">
        <f t="shared" si="3"/>
        <v>9259</v>
      </c>
      <c r="N43" s="40">
        <f t="shared" si="3"/>
        <v>21730</v>
      </c>
      <c r="O43" s="40">
        <f t="shared" si="3"/>
        <v>0</v>
      </c>
      <c r="P43" s="40">
        <f t="shared" si="3"/>
        <v>0</v>
      </c>
      <c r="Q43" s="40">
        <f t="shared" si="3"/>
        <v>0</v>
      </c>
    </row>
    <row r="44" spans="1:18" x14ac:dyDescent="0.2">
      <c r="C44" s="37"/>
      <c r="D44" s="37"/>
      <c r="E44" s="37"/>
      <c r="H44" s="37"/>
      <c r="I44" s="37"/>
      <c r="J44" s="37"/>
      <c r="M44" s="37"/>
      <c r="N44" s="37"/>
      <c r="O44" s="37"/>
      <c r="P44" s="37"/>
      <c r="Q44" s="37"/>
    </row>
    <row r="45" spans="1:18" x14ac:dyDescent="0.2">
      <c r="C45" s="37"/>
      <c r="D45" s="37" t="s">
        <v>106</v>
      </c>
      <c r="E45" s="37"/>
      <c r="H45" s="44">
        <f>SUM(H40:H43)</f>
        <v>401263</v>
      </c>
      <c r="I45" s="44">
        <f>SUM(I40:I43)</f>
        <v>212940</v>
      </c>
      <c r="J45" s="44">
        <f>SUM(J40:J43)</f>
        <v>212940.00002000001</v>
      </c>
      <c r="L45" s="44">
        <f t="shared" ref="L45:Q45" si="4">SUM(L41:L43)</f>
        <v>114186</v>
      </c>
      <c r="M45" s="44">
        <f t="shared" si="4"/>
        <v>41358</v>
      </c>
      <c r="N45" s="44">
        <f t="shared" si="4"/>
        <v>57396</v>
      </c>
      <c r="O45" s="44">
        <f t="shared" si="4"/>
        <v>0</v>
      </c>
      <c r="P45" s="44">
        <f t="shared" si="4"/>
        <v>0</v>
      </c>
      <c r="Q45" s="44">
        <f t="shared" si="4"/>
        <v>0</v>
      </c>
    </row>
    <row r="46" spans="1:18" x14ac:dyDescent="0.2">
      <c r="C46" s="37"/>
      <c r="D46" s="37" t="s">
        <v>123</v>
      </c>
      <c r="E46" s="37"/>
      <c r="H46" s="37">
        <v>302263</v>
      </c>
      <c r="I46" s="37">
        <f>SUM(L45:Q45)</f>
        <v>212940</v>
      </c>
      <c r="J46" s="37">
        <f>H46-I46</f>
        <v>89323</v>
      </c>
      <c r="M46" s="37"/>
      <c r="N46" s="37"/>
      <c r="Q46" s="37"/>
    </row>
    <row r="47" spans="1:18" x14ac:dyDescent="0.2">
      <c r="C47" s="37"/>
      <c r="D47" s="37" t="s">
        <v>128</v>
      </c>
      <c r="E47" s="37"/>
      <c r="H47" s="44">
        <f>H45-H46</f>
        <v>99000</v>
      </c>
      <c r="I47" s="44">
        <f>I45-I46</f>
        <v>0</v>
      </c>
      <c r="J47" s="45"/>
      <c r="M47" s="37"/>
      <c r="N47" s="37"/>
      <c r="Q47" s="37"/>
    </row>
    <row r="48" spans="1:18" x14ac:dyDescent="0.2">
      <c r="C48" s="37"/>
      <c r="D48" s="37"/>
      <c r="E48" s="37"/>
      <c r="H48" s="37"/>
      <c r="I48" s="37"/>
      <c r="J48" s="37"/>
      <c r="M48" s="37"/>
      <c r="N48" s="37"/>
      <c r="Q48" s="37"/>
    </row>
    <row r="49" spans="2:17" ht="15.75" x14ac:dyDescent="0.25">
      <c r="C49" s="43" t="s">
        <v>125</v>
      </c>
      <c r="D49" s="43" t="s">
        <v>129</v>
      </c>
      <c r="E49" s="37"/>
      <c r="H49" s="37">
        <v>0</v>
      </c>
      <c r="I49" s="37"/>
      <c r="J49" s="37"/>
      <c r="L49" s="31" t="s">
        <v>0</v>
      </c>
      <c r="M49" s="31" t="s">
        <v>110</v>
      </c>
      <c r="N49" s="31" t="s">
        <v>122</v>
      </c>
      <c r="O49" s="31" t="s">
        <v>196</v>
      </c>
      <c r="P49" s="31" t="s">
        <v>3</v>
      </c>
      <c r="Q49" s="31" t="s">
        <v>131</v>
      </c>
    </row>
    <row r="50" spans="2:17" x14ac:dyDescent="0.2">
      <c r="B50" s="37" t="str">
        <f>$C$49&amp;C50</f>
        <v>FCP</v>
      </c>
      <c r="C50" s="37" t="s">
        <v>119</v>
      </c>
      <c r="D50" s="37" t="s">
        <v>107</v>
      </c>
      <c r="E50" s="37"/>
      <c r="H50" s="37"/>
      <c r="I50" s="37">
        <f>H49/H67*I40</f>
        <v>0</v>
      </c>
      <c r="J50" s="40" t="str">
        <f ca="1">"Row "&amp;CELL("row",M41)</f>
        <v>Row 41</v>
      </c>
      <c r="L50" s="40">
        <f t="shared" ref="L50:N51" si="5">$I50/$J$41*L$41</f>
        <v>0</v>
      </c>
      <c r="M50" s="40">
        <f t="shared" si="5"/>
        <v>0</v>
      </c>
      <c r="N50" s="40">
        <f t="shared" si="5"/>
        <v>0</v>
      </c>
      <c r="O50" s="40">
        <f t="shared" ref="O50:Q51" si="6">$I50/$J$41*O$41</f>
        <v>0</v>
      </c>
      <c r="P50" s="40">
        <f t="shared" si="6"/>
        <v>0</v>
      </c>
      <c r="Q50" s="40">
        <f t="shared" si="6"/>
        <v>0</v>
      </c>
    </row>
    <row r="51" spans="2:17" x14ac:dyDescent="0.2">
      <c r="B51" s="37" t="str">
        <f>$C$49&amp;C51</f>
        <v>FCO</v>
      </c>
      <c r="C51" s="37" t="s">
        <v>120</v>
      </c>
      <c r="D51" s="37" t="s">
        <v>121</v>
      </c>
      <c r="E51" s="37"/>
      <c r="H51" s="37"/>
      <c r="I51" s="37">
        <f>H49/H67*I41</f>
        <v>0</v>
      </c>
      <c r="J51" s="37"/>
      <c r="L51" s="40">
        <f t="shared" si="5"/>
        <v>0</v>
      </c>
      <c r="M51" s="40">
        <f t="shared" si="5"/>
        <v>0</v>
      </c>
      <c r="N51" s="40">
        <f t="shared" si="5"/>
        <v>0</v>
      </c>
      <c r="O51" s="40">
        <f t="shared" si="6"/>
        <v>0</v>
      </c>
      <c r="P51" s="40">
        <f t="shared" si="6"/>
        <v>0</v>
      </c>
      <c r="Q51" s="40">
        <f t="shared" si="6"/>
        <v>0</v>
      </c>
    </row>
    <row r="52" spans="2:17" x14ac:dyDescent="0.2">
      <c r="B52" s="37" t="str">
        <f>$C$49&amp;C52</f>
        <v>FKP</v>
      </c>
      <c r="C52" s="37" t="s">
        <v>140</v>
      </c>
      <c r="D52" s="37" t="s">
        <v>108</v>
      </c>
      <c r="E52" s="37"/>
      <c r="H52" s="37"/>
      <c r="I52" s="37">
        <f>H49/H67*I42</f>
        <v>0</v>
      </c>
      <c r="J52" s="37" t="str">
        <f ca="1">"Row "&amp;CELL("row",M43)</f>
        <v>Row 43</v>
      </c>
      <c r="L52" s="37">
        <f t="shared" ref="L52:N53" si="7">$I52/$J$43*L$43</f>
        <v>0</v>
      </c>
      <c r="M52" s="37">
        <f t="shared" si="7"/>
        <v>0</v>
      </c>
      <c r="N52" s="37">
        <f t="shared" si="7"/>
        <v>0</v>
      </c>
      <c r="O52" s="37">
        <f t="shared" ref="O52:Q53" si="8">$I52/$J$43*O$43</f>
        <v>0</v>
      </c>
      <c r="P52" s="37">
        <f t="shared" si="8"/>
        <v>0</v>
      </c>
      <c r="Q52" s="37">
        <f t="shared" si="8"/>
        <v>0</v>
      </c>
    </row>
    <row r="53" spans="2:17" x14ac:dyDescent="0.2">
      <c r="B53" s="37" t="str">
        <f>$C$49&amp;C53</f>
        <v>FKO</v>
      </c>
      <c r="C53" s="37" t="s">
        <v>141</v>
      </c>
      <c r="D53" s="37" t="s">
        <v>109</v>
      </c>
      <c r="E53" s="37"/>
      <c r="H53" s="37"/>
      <c r="I53" s="37">
        <f>H49/H67*I43</f>
        <v>0</v>
      </c>
      <c r="J53" s="37"/>
      <c r="L53" s="37">
        <f t="shared" si="7"/>
        <v>0</v>
      </c>
      <c r="M53" s="37">
        <f t="shared" si="7"/>
        <v>0</v>
      </c>
      <c r="N53" s="37">
        <f t="shared" si="7"/>
        <v>0</v>
      </c>
      <c r="O53" s="37">
        <f t="shared" si="8"/>
        <v>0</v>
      </c>
      <c r="P53" s="37">
        <f t="shared" si="8"/>
        <v>0</v>
      </c>
      <c r="Q53" s="37">
        <f t="shared" si="8"/>
        <v>0</v>
      </c>
    </row>
    <row r="54" spans="2:17" x14ac:dyDescent="0.2">
      <c r="C54" s="37"/>
      <c r="D54" s="37"/>
      <c r="E54" s="37"/>
      <c r="H54" s="37"/>
      <c r="I54" s="37"/>
      <c r="J54" s="37"/>
      <c r="M54" s="37"/>
      <c r="N54" s="37"/>
      <c r="O54" s="37"/>
      <c r="P54" s="37"/>
      <c r="Q54" s="37"/>
    </row>
    <row r="55" spans="2:17" ht="15.75" x14ac:dyDescent="0.25">
      <c r="C55" s="43" t="s">
        <v>126</v>
      </c>
      <c r="D55" s="43" t="s">
        <v>130</v>
      </c>
      <c r="E55" s="37"/>
      <c r="H55" s="37">
        <v>94050</v>
      </c>
      <c r="I55" s="37"/>
      <c r="J55" s="37"/>
      <c r="M55" s="37"/>
      <c r="N55" s="37"/>
      <c r="O55" s="37"/>
      <c r="P55" s="37"/>
      <c r="Q55" s="37"/>
    </row>
    <row r="56" spans="2:17" x14ac:dyDescent="0.2">
      <c r="B56" s="37" t="str">
        <f>$C$55&amp;C56</f>
        <v>SCP</v>
      </c>
      <c r="C56" s="37" t="s">
        <v>119</v>
      </c>
      <c r="D56" s="37" t="s">
        <v>107</v>
      </c>
      <c r="E56" s="37"/>
      <c r="H56" s="37"/>
      <c r="I56" s="37">
        <f>H55/H67*I40</f>
        <v>82707.95</v>
      </c>
      <c r="J56" s="37"/>
      <c r="L56" s="40">
        <f t="shared" ref="L56:N57" si="9">$I56/$J$41*L$41</f>
        <v>18331.19999789444</v>
      </c>
      <c r="M56" s="40">
        <f t="shared" si="9"/>
        <v>30494.04999649739</v>
      </c>
      <c r="N56" s="40">
        <f t="shared" si="9"/>
        <v>33882.69999610816</v>
      </c>
      <c r="O56" s="40">
        <f t="shared" ref="O56:Q57" si="10">$I56/$J$41*O$41</f>
        <v>0</v>
      </c>
      <c r="P56" s="40">
        <f t="shared" si="10"/>
        <v>0</v>
      </c>
      <c r="Q56" s="40">
        <f t="shared" si="10"/>
        <v>0</v>
      </c>
    </row>
    <row r="57" spans="2:17" x14ac:dyDescent="0.2">
      <c r="B57" s="37" t="str">
        <f>$C$55&amp;C57</f>
        <v>SCO</v>
      </c>
      <c r="C57" s="37" t="s">
        <v>120</v>
      </c>
      <c r="D57" s="37" t="s">
        <v>121</v>
      </c>
      <c r="E57" s="37"/>
      <c r="H57" s="37"/>
      <c r="I57" s="37">
        <f>H55/H67*I41</f>
        <v>0</v>
      </c>
      <c r="J57" s="37"/>
      <c r="L57" s="40">
        <f t="shared" si="9"/>
        <v>0</v>
      </c>
      <c r="M57" s="40">
        <f t="shared" si="9"/>
        <v>0</v>
      </c>
      <c r="N57" s="40">
        <f t="shared" si="9"/>
        <v>0</v>
      </c>
      <c r="O57" s="40">
        <f t="shared" si="10"/>
        <v>0</v>
      </c>
      <c r="P57" s="40">
        <f t="shared" si="10"/>
        <v>0</v>
      </c>
      <c r="Q57" s="40">
        <f t="shared" si="10"/>
        <v>0</v>
      </c>
    </row>
    <row r="58" spans="2:17" x14ac:dyDescent="0.2">
      <c r="B58" s="37" t="str">
        <f>$C$55&amp;C58</f>
        <v>SKP</v>
      </c>
      <c r="C58" s="37" t="s">
        <v>140</v>
      </c>
      <c r="D58" s="37" t="s">
        <v>108</v>
      </c>
      <c r="E58" s="37"/>
      <c r="H58" s="37"/>
      <c r="I58" s="37">
        <f>H55/H67*I42</f>
        <v>0</v>
      </c>
      <c r="J58" s="37"/>
      <c r="L58" s="37">
        <f t="shared" ref="L58:N59" si="11">$I58/$J$43*L$43</f>
        <v>0</v>
      </c>
      <c r="M58" s="37">
        <f t="shared" si="11"/>
        <v>0</v>
      </c>
      <c r="N58" s="37">
        <f t="shared" si="11"/>
        <v>0</v>
      </c>
      <c r="O58" s="37">
        <f t="shared" ref="O58:Q59" si="12">$I58/$J$43*O$43</f>
        <v>0</v>
      </c>
      <c r="P58" s="37">
        <f t="shared" si="12"/>
        <v>0</v>
      </c>
      <c r="Q58" s="37">
        <f t="shared" si="12"/>
        <v>0</v>
      </c>
    </row>
    <row r="59" spans="2:17" x14ac:dyDescent="0.2">
      <c r="B59" s="37" t="str">
        <f>$C$55&amp;C59</f>
        <v>SKO</v>
      </c>
      <c r="C59" s="37" t="s">
        <v>141</v>
      </c>
      <c r="D59" s="37" t="s">
        <v>109</v>
      </c>
      <c r="E59" s="37"/>
      <c r="H59" s="37"/>
      <c r="I59" s="37">
        <f>H55/H67*I43</f>
        <v>119585.04999999999</v>
      </c>
      <c r="J59" s="37"/>
      <c r="L59" s="37">
        <f t="shared" si="11"/>
        <v>90145.499992838697</v>
      </c>
      <c r="M59" s="37">
        <f t="shared" si="11"/>
        <v>8796.049999301229</v>
      </c>
      <c r="N59" s="37">
        <f t="shared" si="11"/>
        <v>20643.49999836005</v>
      </c>
      <c r="O59" s="37">
        <f t="shared" si="12"/>
        <v>0</v>
      </c>
      <c r="P59" s="37">
        <f t="shared" si="12"/>
        <v>0</v>
      </c>
      <c r="Q59" s="37">
        <f t="shared" si="12"/>
        <v>0</v>
      </c>
    </row>
    <row r="60" spans="2:17" x14ac:dyDescent="0.2">
      <c r="C60" s="37"/>
      <c r="D60" s="37"/>
      <c r="E60" s="37"/>
      <c r="H60" s="37"/>
      <c r="I60" s="37"/>
      <c r="J60" s="37"/>
      <c r="M60" s="37"/>
      <c r="N60" s="37"/>
      <c r="O60" s="37"/>
      <c r="P60" s="37"/>
      <c r="Q60" s="37"/>
    </row>
    <row r="61" spans="2:17" ht="15.75" x14ac:dyDescent="0.25">
      <c r="C61" s="43" t="s">
        <v>127</v>
      </c>
      <c r="D61" s="43" t="s">
        <v>159</v>
      </c>
      <c r="E61" s="37"/>
      <c r="H61" s="37">
        <f>H47-H49-H55</f>
        <v>4950</v>
      </c>
      <c r="I61" s="37"/>
      <c r="J61" s="37"/>
      <c r="M61" s="37"/>
      <c r="N61" s="37"/>
      <c r="O61" s="37"/>
      <c r="P61" s="37"/>
      <c r="Q61" s="37"/>
    </row>
    <row r="62" spans="2:17" x14ac:dyDescent="0.2">
      <c r="B62" s="37" t="str">
        <f>$C$61&amp;C62</f>
        <v>OCP</v>
      </c>
      <c r="C62" s="37" t="s">
        <v>119</v>
      </c>
      <c r="D62" s="37" t="s">
        <v>107</v>
      </c>
      <c r="E62" s="37"/>
      <c r="H62" s="37"/>
      <c r="I62" s="37">
        <f>I40-I50-I56</f>
        <v>4353.0500000000029</v>
      </c>
      <c r="J62" s="37"/>
      <c r="L62" s="40">
        <f t="shared" ref="L62:N63" si="13">$I62/$J$41*L$41</f>
        <v>964.79999988918178</v>
      </c>
      <c r="M62" s="40">
        <f t="shared" si="13"/>
        <v>1604.9499998156532</v>
      </c>
      <c r="N62" s="40">
        <f t="shared" si="13"/>
        <v>1783.2999997951677</v>
      </c>
      <c r="O62" s="40">
        <f t="shared" ref="O62:Q63" si="14">$I62/$J$41*O$41</f>
        <v>0</v>
      </c>
      <c r="P62" s="40">
        <f t="shared" si="14"/>
        <v>0</v>
      </c>
      <c r="Q62" s="40">
        <f t="shared" si="14"/>
        <v>0</v>
      </c>
    </row>
    <row r="63" spans="2:17" x14ac:dyDescent="0.2">
      <c r="B63" s="37" t="str">
        <f>$C$61&amp;C63</f>
        <v>OCO</v>
      </c>
      <c r="C63" s="37" t="s">
        <v>120</v>
      </c>
      <c r="D63" s="37" t="s">
        <v>121</v>
      </c>
      <c r="E63" s="37"/>
      <c r="H63" s="37"/>
      <c r="I63" s="37">
        <f>I41-I51-I57</f>
        <v>0</v>
      </c>
      <c r="J63" s="37"/>
      <c r="L63" s="40">
        <f t="shared" si="13"/>
        <v>0</v>
      </c>
      <c r="M63" s="40">
        <f t="shared" si="13"/>
        <v>0</v>
      </c>
      <c r="N63" s="40">
        <f t="shared" si="13"/>
        <v>0</v>
      </c>
      <c r="O63" s="40">
        <f t="shared" si="14"/>
        <v>0</v>
      </c>
      <c r="P63" s="40">
        <f t="shared" si="14"/>
        <v>0</v>
      </c>
      <c r="Q63" s="40">
        <f t="shared" si="14"/>
        <v>0</v>
      </c>
    </row>
    <row r="64" spans="2:17" x14ac:dyDescent="0.2">
      <c r="B64" s="37" t="str">
        <f>$C$61&amp;C64</f>
        <v>OKP</v>
      </c>
      <c r="C64" s="37" t="s">
        <v>140</v>
      </c>
      <c r="D64" s="37" t="s">
        <v>108</v>
      </c>
      <c r="E64" s="37"/>
      <c r="H64" s="37"/>
      <c r="I64" s="37">
        <f>I42-I52-I58</f>
        <v>0</v>
      </c>
      <c r="J64" s="37"/>
      <c r="L64" s="37">
        <f t="shared" ref="L64:N65" si="15">$I64/$J$43*L$43</f>
        <v>0</v>
      </c>
      <c r="M64" s="37">
        <f t="shared" si="15"/>
        <v>0</v>
      </c>
      <c r="N64" s="37">
        <f t="shared" si="15"/>
        <v>0</v>
      </c>
      <c r="O64" s="37">
        <f t="shared" ref="O64:Q65" si="16">$I64/$J$43*O$43</f>
        <v>0</v>
      </c>
      <c r="P64" s="37">
        <f t="shared" si="16"/>
        <v>0</v>
      </c>
      <c r="Q64" s="37">
        <f t="shared" si="16"/>
        <v>0</v>
      </c>
    </row>
    <row r="65" spans="1:18" x14ac:dyDescent="0.2">
      <c r="B65" s="37" t="str">
        <f>$C$61&amp;C65</f>
        <v>OKO</v>
      </c>
      <c r="C65" s="37" t="s">
        <v>141</v>
      </c>
      <c r="D65" s="37" t="s">
        <v>109</v>
      </c>
      <c r="E65" s="37"/>
      <c r="H65" s="37"/>
      <c r="I65" s="37">
        <f>I43-I53-I59</f>
        <v>6293.9500000000116</v>
      </c>
      <c r="J65" s="37"/>
      <c r="L65" s="37">
        <f t="shared" si="15"/>
        <v>4744.499999623099</v>
      </c>
      <c r="M65" s="37">
        <f t="shared" si="15"/>
        <v>462.94999996322343</v>
      </c>
      <c r="N65" s="37">
        <f t="shared" si="15"/>
        <v>1086.499999913689</v>
      </c>
      <c r="O65" s="37">
        <f t="shared" si="16"/>
        <v>0</v>
      </c>
      <c r="P65" s="37">
        <f t="shared" si="16"/>
        <v>0</v>
      </c>
      <c r="Q65" s="37">
        <f t="shared" si="16"/>
        <v>0</v>
      </c>
    </row>
    <row r="66" spans="1:18" x14ac:dyDescent="0.2">
      <c r="C66" s="37"/>
      <c r="D66" s="37"/>
      <c r="E66" s="37"/>
      <c r="H66" s="37"/>
      <c r="I66" s="37"/>
      <c r="J66" s="37"/>
      <c r="M66" s="37"/>
      <c r="N66" s="37"/>
      <c r="O66" s="37"/>
      <c r="P66" s="37"/>
      <c r="Q66" s="37"/>
    </row>
    <row r="67" spans="1:18" x14ac:dyDescent="0.2">
      <c r="C67" s="37"/>
      <c r="D67" s="37" t="s">
        <v>106</v>
      </c>
      <c r="E67" s="37"/>
      <c r="H67" s="44">
        <f>SUM(H49:H66)</f>
        <v>99000</v>
      </c>
      <c r="I67" s="44">
        <f>SUM(I49:I66)</f>
        <v>212940</v>
      </c>
      <c r="J67" s="44"/>
      <c r="L67" s="44">
        <f t="shared" ref="L67:Q67" si="17">SUM(L49:L66)</f>
        <v>114185.99999024541</v>
      </c>
      <c r="M67" s="44">
        <f t="shared" si="17"/>
        <v>41357.999995577498</v>
      </c>
      <c r="N67" s="44">
        <f t="shared" si="17"/>
        <v>57395.999994177066</v>
      </c>
      <c r="O67" s="44">
        <f t="shared" si="17"/>
        <v>0</v>
      </c>
      <c r="P67" s="44">
        <f t="shared" si="17"/>
        <v>0</v>
      </c>
      <c r="Q67" s="44">
        <f t="shared" si="17"/>
        <v>0</v>
      </c>
    </row>
    <row r="68" spans="1:18" x14ac:dyDescent="0.2">
      <c r="C68" s="37"/>
      <c r="D68" s="37" t="s">
        <v>132</v>
      </c>
      <c r="E68" s="37"/>
      <c r="H68" s="37">
        <f>H47-H67</f>
        <v>0</v>
      </c>
      <c r="I68" s="37">
        <f>I45-I67</f>
        <v>0</v>
      </c>
      <c r="J68" s="37"/>
      <c r="L68" s="37">
        <f t="shared" ref="L68:Q68" si="18">L45-L67</f>
        <v>9.7545853350311518E-6</v>
      </c>
      <c r="M68" s="37">
        <f t="shared" si="18"/>
        <v>4.4225016608834267E-6</v>
      </c>
      <c r="N68" s="37">
        <f t="shared" si="18"/>
        <v>5.8229343267157674E-6</v>
      </c>
      <c r="O68" s="37">
        <f t="shared" si="18"/>
        <v>0</v>
      </c>
      <c r="P68" s="37">
        <f t="shared" si="18"/>
        <v>0</v>
      </c>
      <c r="Q68" s="37">
        <f t="shared" si="18"/>
        <v>0</v>
      </c>
    </row>
    <row r="69" spans="1:18" x14ac:dyDescent="0.2"/>
    <row r="70" spans="1:18" ht="13.5" customHeight="1" x14ac:dyDescent="0.2">
      <c r="B70" s="41" t="s">
        <v>160</v>
      </c>
      <c r="C70" s="41" t="s">
        <v>160</v>
      </c>
      <c r="D70" s="41" t="s">
        <v>160</v>
      </c>
      <c r="E70" s="41" t="s">
        <v>160</v>
      </c>
      <c r="F70" s="41" t="s">
        <v>160</v>
      </c>
      <c r="G70" s="41" t="s">
        <v>160</v>
      </c>
      <c r="H70" s="41" t="s">
        <v>160</v>
      </c>
      <c r="I70" s="41" t="s">
        <v>160</v>
      </c>
      <c r="J70" s="41" t="s">
        <v>160</v>
      </c>
      <c r="L70" s="41" t="s">
        <v>160</v>
      </c>
      <c r="M70" s="41" t="s">
        <v>160</v>
      </c>
      <c r="N70" s="41" t="s">
        <v>160</v>
      </c>
      <c r="O70" s="41" t="s">
        <v>160</v>
      </c>
      <c r="P70" s="41" t="s">
        <v>160</v>
      </c>
      <c r="Q70" s="41" t="s">
        <v>160</v>
      </c>
      <c r="R70" s="41" t="s">
        <v>160</v>
      </c>
    </row>
    <row r="71" spans="1:18" x14ac:dyDescent="0.2"/>
    <row r="72" spans="1:18" x14ac:dyDescent="0.2">
      <c r="A72" s="16" t="s">
        <v>178</v>
      </c>
      <c r="B72" s="16" t="str">
        <f>$B$1</f>
        <v>H:\Acctg\2008\MHSA\CostReport\07-08 Annual Report2.xls</v>
      </c>
    </row>
    <row r="73" spans="1:18" ht="15.75" x14ac:dyDescent="0.25">
      <c r="B73" s="33" t="str">
        <f>B2</f>
        <v>Worksheet</v>
      </c>
    </row>
    <row r="74" spans="1:18" x14ac:dyDescent="0.2"/>
    <row r="75" spans="1:18" ht="15.75" x14ac:dyDescent="0.25">
      <c r="C75" s="42" t="s">
        <v>133</v>
      </c>
      <c r="D75" s="43" t="s">
        <v>111</v>
      </c>
      <c r="E75" s="37"/>
      <c r="F75" s="31"/>
      <c r="H75" s="31" t="s">
        <v>124</v>
      </c>
      <c r="I75" s="31" t="s">
        <v>103</v>
      </c>
      <c r="J75" s="31" t="s">
        <v>137</v>
      </c>
      <c r="L75" s="31" t="s">
        <v>0</v>
      </c>
      <c r="M75" s="31" t="s">
        <v>110</v>
      </c>
      <c r="N75" s="31" t="s">
        <v>122</v>
      </c>
      <c r="O75" s="31" t="s">
        <v>196</v>
      </c>
      <c r="P75" s="31" t="s">
        <v>3</v>
      </c>
      <c r="Q75" s="31" t="s">
        <v>131</v>
      </c>
    </row>
    <row r="76" spans="1:18" x14ac:dyDescent="0.2">
      <c r="C76" s="37" t="s">
        <v>119</v>
      </c>
      <c r="D76" s="37" t="s">
        <v>107</v>
      </c>
      <c r="E76" s="37"/>
      <c r="H76" s="37">
        <v>1.0000000000000001E-5</v>
      </c>
      <c r="I76" s="40">
        <f>I7</f>
        <v>0</v>
      </c>
      <c r="J76" s="37"/>
      <c r="M76" s="37"/>
      <c r="N76" s="37"/>
      <c r="Q76" s="37"/>
    </row>
    <row r="77" spans="1:18" x14ac:dyDescent="0.2">
      <c r="C77" s="37" t="s">
        <v>120</v>
      </c>
      <c r="D77" s="37" t="s">
        <v>121</v>
      </c>
      <c r="E77" s="37"/>
      <c r="H77" s="37">
        <v>1.0000000000000001E-5</v>
      </c>
      <c r="I77" s="40">
        <f>J7</f>
        <v>0</v>
      </c>
      <c r="J77" s="37">
        <f>I76+I77+0.00001</f>
        <v>1.0000000000000001E-5</v>
      </c>
      <c r="L77" s="40">
        <f t="shared" ref="L77:Q77" si="19">L7</f>
        <v>0</v>
      </c>
      <c r="M77" s="40">
        <f t="shared" si="19"/>
        <v>0</v>
      </c>
      <c r="N77" s="40">
        <f t="shared" si="19"/>
        <v>0</v>
      </c>
      <c r="O77" s="40">
        <f t="shared" si="19"/>
        <v>0</v>
      </c>
      <c r="P77" s="40">
        <f t="shared" si="19"/>
        <v>0</v>
      </c>
      <c r="Q77" s="40">
        <f t="shared" si="19"/>
        <v>0</v>
      </c>
    </row>
    <row r="78" spans="1:18" x14ac:dyDescent="0.2">
      <c r="C78" s="37" t="s">
        <v>140</v>
      </c>
      <c r="D78" s="37" t="s">
        <v>108</v>
      </c>
      <c r="E78" s="37"/>
      <c r="H78" s="37">
        <v>1.0000000000000001E-5</v>
      </c>
      <c r="I78" s="40">
        <f>I8</f>
        <v>0</v>
      </c>
      <c r="J78" s="37"/>
      <c r="L78" s="37"/>
      <c r="M78" s="37"/>
      <c r="N78" s="37"/>
      <c r="O78" s="37"/>
      <c r="P78" s="37"/>
      <c r="Q78" s="37"/>
    </row>
    <row r="79" spans="1:18" x14ac:dyDescent="0.2">
      <c r="C79" s="37" t="s">
        <v>141</v>
      </c>
      <c r="D79" s="37" t="s">
        <v>109</v>
      </c>
      <c r="E79" s="37"/>
      <c r="H79" s="37">
        <v>300000</v>
      </c>
      <c r="I79" s="40">
        <f>J8</f>
        <v>123464</v>
      </c>
      <c r="J79" s="37">
        <f>I78+I79+0.0001</f>
        <v>123464.0001</v>
      </c>
      <c r="L79" s="40">
        <f t="shared" ref="L79:Q79" si="20">L8</f>
        <v>61125</v>
      </c>
      <c r="M79" s="40">
        <f t="shared" si="20"/>
        <v>29529</v>
      </c>
      <c r="N79" s="40">
        <f t="shared" si="20"/>
        <v>32810</v>
      </c>
      <c r="O79" s="40">
        <f t="shared" si="20"/>
        <v>0</v>
      </c>
      <c r="P79" s="40">
        <f t="shared" si="20"/>
        <v>0</v>
      </c>
      <c r="Q79" s="40">
        <f t="shared" si="20"/>
        <v>0</v>
      </c>
    </row>
    <row r="80" spans="1:18" x14ac:dyDescent="0.2">
      <c r="C80" s="37"/>
      <c r="D80" s="37"/>
      <c r="E80" s="37"/>
      <c r="H80" s="37"/>
      <c r="I80" s="37"/>
      <c r="J80" s="37"/>
      <c r="L80" s="37"/>
      <c r="M80" s="37"/>
      <c r="N80" s="37"/>
      <c r="O80" s="37"/>
      <c r="P80" s="37"/>
      <c r="Q80" s="37"/>
    </row>
    <row r="81" spans="2:17" x14ac:dyDescent="0.2">
      <c r="C81" s="37"/>
      <c r="D81" s="37" t="s">
        <v>106</v>
      </c>
      <c r="E81" s="37"/>
      <c r="H81" s="44">
        <f>SUM(H76:H79)</f>
        <v>300000.00003</v>
      </c>
      <c r="I81" s="44">
        <f>SUM(I76:I79)</f>
        <v>123464</v>
      </c>
      <c r="J81" s="44">
        <f>SUM(J76:J79)</f>
        <v>123464.00011000001</v>
      </c>
      <c r="L81" s="44">
        <f t="shared" ref="L81:Q81" si="21">SUM(L77:L79)</f>
        <v>61125</v>
      </c>
      <c r="M81" s="44">
        <f t="shared" si="21"/>
        <v>29529</v>
      </c>
      <c r="N81" s="44">
        <f t="shared" si="21"/>
        <v>32810</v>
      </c>
      <c r="O81" s="44">
        <f t="shared" si="21"/>
        <v>0</v>
      </c>
      <c r="P81" s="44">
        <f t="shared" si="21"/>
        <v>0</v>
      </c>
      <c r="Q81" s="44">
        <f t="shared" si="21"/>
        <v>0</v>
      </c>
    </row>
    <row r="82" spans="2:17" x14ac:dyDescent="0.2">
      <c r="C82" s="37"/>
      <c r="D82" s="37" t="s">
        <v>123</v>
      </c>
      <c r="E82" s="37"/>
      <c r="H82" s="37">
        <v>255000</v>
      </c>
      <c r="I82" s="37">
        <f>SUM(L81:Q81)</f>
        <v>123464</v>
      </c>
      <c r="J82" s="37">
        <f>H82-I82</f>
        <v>131536</v>
      </c>
      <c r="L82" s="37"/>
      <c r="M82" s="37"/>
      <c r="N82" s="37"/>
      <c r="Q82" s="37"/>
    </row>
    <row r="83" spans="2:17" x14ac:dyDescent="0.2">
      <c r="C83" s="37"/>
      <c r="D83" s="37" t="s">
        <v>128</v>
      </c>
      <c r="E83" s="37"/>
      <c r="H83" s="44">
        <f>H81-H82</f>
        <v>45000.000029999996</v>
      </c>
      <c r="I83" s="44">
        <f>I81-I82</f>
        <v>0</v>
      </c>
      <c r="J83" s="45"/>
      <c r="L83" s="37"/>
      <c r="M83" s="37"/>
      <c r="N83" s="37"/>
      <c r="Q83" s="37"/>
    </row>
    <row r="84" spans="2:17" x14ac:dyDescent="0.2">
      <c r="C84" s="37"/>
      <c r="D84" s="37"/>
      <c r="E84" s="37"/>
      <c r="H84" s="37"/>
      <c r="I84" s="37"/>
      <c r="J84" s="37"/>
      <c r="L84" s="37"/>
      <c r="M84" s="37"/>
      <c r="N84" s="37"/>
      <c r="Q84" s="37"/>
    </row>
    <row r="85" spans="2:17" ht="15.75" x14ac:dyDescent="0.25">
      <c r="C85" s="43" t="s">
        <v>125</v>
      </c>
      <c r="D85" s="43" t="s">
        <v>129</v>
      </c>
      <c r="E85" s="37"/>
      <c r="H85" s="37">
        <v>0</v>
      </c>
      <c r="I85" s="37"/>
      <c r="J85" s="37"/>
      <c r="L85" s="31" t="s">
        <v>0</v>
      </c>
      <c r="M85" s="31" t="s">
        <v>110</v>
      </c>
      <c r="N85" s="31" t="s">
        <v>122</v>
      </c>
      <c r="O85" s="31" t="s">
        <v>196</v>
      </c>
      <c r="P85" s="31" t="s">
        <v>3</v>
      </c>
      <c r="Q85" s="31" t="s">
        <v>131</v>
      </c>
    </row>
    <row r="86" spans="2:17" x14ac:dyDescent="0.2">
      <c r="B86" s="37" t="str">
        <f>$C$85&amp;C86</f>
        <v>FCP</v>
      </c>
      <c r="C86" s="37" t="s">
        <v>119</v>
      </c>
      <c r="D86" s="37" t="s">
        <v>107</v>
      </c>
      <c r="E86" s="37"/>
      <c r="H86" s="37"/>
      <c r="I86" s="37">
        <f>H85/H103*I76</f>
        <v>0</v>
      </c>
      <c r="J86" s="40" t="str">
        <f ca="1">"Row "&amp;CELL("row",M77)</f>
        <v>Row 77</v>
      </c>
      <c r="L86" s="40">
        <f t="shared" ref="L86:N87" si="22">$I86/$J$77*L$77</f>
        <v>0</v>
      </c>
      <c r="M86" s="40">
        <f t="shared" si="22"/>
        <v>0</v>
      </c>
      <c r="N86" s="40">
        <f t="shared" si="22"/>
        <v>0</v>
      </c>
      <c r="O86" s="40">
        <f t="shared" ref="O86:Q87" si="23">$I86/$J$77*O$77</f>
        <v>0</v>
      </c>
      <c r="P86" s="40">
        <f t="shared" si="23"/>
        <v>0</v>
      </c>
      <c r="Q86" s="40">
        <f t="shared" si="23"/>
        <v>0</v>
      </c>
    </row>
    <row r="87" spans="2:17" x14ac:dyDescent="0.2">
      <c r="B87" s="37" t="str">
        <f>$C$85&amp;C87</f>
        <v>FCO</v>
      </c>
      <c r="C87" s="37" t="s">
        <v>120</v>
      </c>
      <c r="D87" s="37" t="s">
        <v>121</v>
      </c>
      <c r="E87" s="37"/>
      <c r="H87" s="37"/>
      <c r="I87" s="37">
        <f>H85/H103*I77</f>
        <v>0</v>
      </c>
      <c r="J87" s="37"/>
      <c r="L87" s="40">
        <f t="shared" si="22"/>
        <v>0</v>
      </c>
      <c r="M87" s="40">
        <f t="shared" si="22"/>
        <v>0</v>
      </c>
      <c r="N87" s="40">
        <f t="shared" si="22"/>
        <v>0</v>
      </c>
      <c r="O87" s="40">
        <f t="shared" si="23"/>
        <v>0</v>
      </c>
      <c r="P87" s="40">
        <f t="shared" si="23"/>
        <v>0</v>
      </c>
      <c r="Q87" s="40">
        <f t="shared" si="23"/>
        <v>0</v>
      </c>
    </row>
    <row r="88" spans="2:17" x14ac:dyDescent="0.2">
      <c r="B88" s="37" t="str">
        <f>$C$85&amp;C88</f>
        <v>FKP</v>
      </c>
      <c r="C88" s="37" t="s">
        <v>140</v>
      </c>
      <c r="D88" s="37" t="s">
        <v>108</v>
      </c>
      <c r="E88" s="37"/>
      <c r="H88" s="37"/>
      <c r="I88" s="37">
        <f>H85/H103*I78</f>
        <v>0</v>
      </c>
      <c r="J88" s="37" t="str">
        <f ca="1">"Row "&amp;CELL("row",M79)</f>
        <v>Row 79</v>
      </c>
      <c r="L88" s="37">
        <f t="shared" ref="L88:N89" si="24">$I88/$J$79*L$79</f>
        <v>0</v>
      </c>
      <c r="M88" s="37">
        <f t="shared" si="24"/>
        <v>0</v>
      </c>
      <c r="N88" s="37">
        <f t="shared" si="24"/>
        <v>0</v>
      </c>
      <c r="O88" s="37">
        <f t="shared" ref="O88:Q89" si="25">$I88/$J$79*O$79</f>
        <v>0</v>
      </c>
      <c r="P88" s="37">
        <f t="shared" si="25"/>
        <v>0</v>
      </c>
      <c r="Q88" s="37">
        <f t="shared" si="25"/>
        <v>0</v>
      </c>
    </row>
    <row r="89" spans="2:17" x14ac:dyDescent="0.2">
      <c r="B89" s="37" t="str">
        <f>$C$85&amp;C89</f>
        <v>FKO</v>
      </c>
      <c r="C89" s="37" t="s">
        <v>141</v>
      </c>
      <c r="D89" s="37" t="s">
        <v>109</v>
      </c>
      <c r="E89" s="37"/>
      <c r="H89" s="37"/>
      <c r="I89" s="37">
        <f>H85/H103*I79</f>
        <v>0</v>
      </c>
      <c r="J89" s="37"/>
      <c r="L89" s="37">
        <f t="shared" si="24"/>
        <v>0</v>
      </c>
      <c r="M89" s="37">
        <f t="shared" si="24"/>
        <v>0</v>
      </c>
      <c r="N89" s="37">
        <f t="shared" si="24"/>
        <v>0</v>
      </c>
      <c r="O89" s="37">
        <f t="shared" si="25"/>
        <v>0</v>
      </c>
      <c r="P89" s="37">
        <f t="shared" si="25"/>
        <v>0</v>
      </c>
      <c r="Q89" s="37">
        <f t="shared" si="25"/>
        <v>0</v>
      </c>
    </row>
    <row r="90" spans="2:17" x14ac:dyDescent="0.2">
      <c r="C90" s="37"/>
      <c r="D90" s="37"/>
      <c r="E90" s="37"/>
      <c r="H90" s="37"/>
      <c r="I90" s="37"/>
      <c r="J90" s="37"/>
      <c r="L90" s="37"/>
      <c r="M90" s="37"/>
      <c r="N90" s="37"/>
      <c r="O90" s="37"/>
      <c r="P90" s="37"/>
      <c r="Q90" s="37"/>
    </row>
    <row r="91" spans="2:17" ht="15.75" x14ac:dyDescent="0.25">
      <c r="C91" s="43" t="s">
        <v>126</v>
      </c>
      <c r="D91" s="43" t="s">
        <v>130</v>
      </c>
      <c r="E91" s="37"/>
      <c r="H91" s="37">
        <v>42750</v>
      </c>
      <c r="I91" s="37"/>
      <c r="J91" s="37"/>
      <c r="L91" s="37"/>
      <c r="M91" s="37"/>
      <c r="N91" s="37"/>
      <c r="O91" s="37"/>
      <c r="P91" s="37"/>
      <c r="Q91" s="37"/>
    </row>
    <row r="92" spans="2:17" x14ac:dyDescent="0.2">
      <c r="B92" s="37" t="str">
        <f>$C$91&amp;C92</f>
        <v>SCP</v>
      </c>
      <c r="C92" s="37" t="s">
        <v>119</v>
      </c>
      <c r="D92" s="37" t="s">
        <v>107</v>
      </c>
      <c r="E92" s="37"/>
      <c r="H92" s="37"/>
      <c r="I92" s="37">
        <f>H91/H103*I76</f>
        <v>0</v>
      </c>
      <c r="J92" s="37"/>
      <c r="L92" s="40">
        <f t="shared" ref="L92:N93" si="26">$I92/$J$77*L$77</f>
        <v>0</v>
      </c>
      <c r="M92" s="40">
        <f t="shared" si="26"/>
        <v>0</v>
      </c>
      <c r="N92" s="40">
        <f t="shared" si="26"/>
        <v>0</v>
      </c>
      <c r="O92" s="40">
        <f t="shared" ref="O92:Q93" si="27">$I92/$J$77*O$77</f>
        <v>0</v>
      </c>
      <c r="P92" s="40">
        <f t="shared" si="27"/>
        <v>0</v>
      </c>
      <c r="Q92" s="40">
        <f t="shared" si="27"/>
        <v>0</v>
      </c>
    </row>
    <row r="93" spans="2:17" x14ac:dyDescent="0.2">
      <c r="B93" s="37" t="str">
        <f>$C$91&amp;C93</f>
        <v>SCO</v>
      </c>
      <c r="C93" s="37" t="s">
        <v>120</v>
      </c>
      <c r="D93" s="37" t="s">
        <v>121</v>
      </c>
      <c r="E93" s="37"/>
      <c r="H93" s="37"/>
      <c r="I93" s="37">
        <f>H91/H103*I77</f>
        <v>0</v>
      </c>
      <c r="J93" s="37"/>
      <c r="L93" s="40">
        <f t="shared" si="26"/>
        <v>0</v>
      </c>
      <c r="M93" s="40">
        <f t="shared" si="26"/>
        <v>0</v>
      </c>
      <c r="N93" s="40">
        <f t="shared" si="26"/>
        <v>0</v>
      </c>
      <c r="O93" s="40">
        <f t="shared" si="27"/>
        <v>0</v>
      </c>
      <c r="P93" s="40">
        <f t="shared" si="27"/>
        <v>0</v>
      </c>
      <c r="Q93" s="40">
        <f t="shared" si="27"/>
        <v>0</v>
      </c>
    </row>
    <row r="94" spans="2:17" x14ac:dyDescent="0.2">
      <c r="B94" s="37" t="str">
        <f>$C$91&amp;C94</f>
        <v>SKP</v>
      </c>
      <c r="C94" s="37" t="s">
        <v>140</v>
      </c>
      <c r="D94" s="37" t="s">
        <v>108</v>
      </c>
      <c r="E94" s="37"/>
      <c r="H94" s="37"/>
      <c r="I94" s="37">
        <f>H91/H103*I78</f>
        <v>0</v>
      </c>
      <c r="J94" s="37"/>
      <c r="L94" s="37">
        <f t="shared" ref="L94:N95" si="28">$I94/$J$79*L$79</f>
        <v>0</v>
      </c>
      <c r="M94" s="37">
        <f t="shared" si="28"/>
        <v>0</v>
      </c>
      <c r="N94" s="37">
        <f t="shared" si="28"/>
        <v>0</v>
      </c>
      <c r="O94" s="37">
        <f t="shared" ref="O94:Q95" si="29">$I94/$J$79*O$79</f>
        <v>0</v>
      </c>
      <c r="P94" s="37">
        <f t="shared" si="29"/>
        <v>0</v>
      </c>
      <c r="Q94" s="37">
        <f t="shared" si="29"/>
        <v>0</v>
      </c>
    </row>
    <row r="95" spans="2:17" x14ac:dyDescent="0.2">
      <c r="B95" s="37" t="str">
        <f>$C$91&amp;C95</f>
        <v>SKO</v>
      </c>
      <c r="C95" s="37" t="s">
        <v>141</v>
      </c>
      <c r="D95" s="37" t="s">
        <v>109</v>
      </c>
      <c r="E95" s="37"/>
      <c r="H95" s="37"/>
      <c r="I95" s="37">
        <f>H91/H103*I79</f>
        <v>117290.79992180614</v>
      </c>
      <c r="J95" s="37"/>
      <c r="L95" s="37">
        <f t="shared" si="28"/>
        <v>58068.749914254564</v>
      </c>
      <c r="M95" s="37">
        <f t="shared" si="28"/>
        <v>28052.549958577063</v>
      </c>
      <c r="N95" s="37">
        <f t="shared" si="28"/>
        <v>31169.499953974515</v>
      </c>
      <c r="O95" s="37">
        <f t="shared" si="29"/>
        <v>0</v>
      </c>
      <c r="P95" s="37">
        <f t="shared" si="29"/>
        <v>0</v>
      </c>
      <c r="Q95" s="37">
        <f t="shared" si="29"/>
        <v>0</v>
      </c>
    </row>
    <row r="96" spans="2:17" x14ac:dyDescent="0.2">
      <c r="C96" s="37"/>
      <c r="D96" s="37"/>
      <c r="E96" s="37"/>
      <c r="H96" s="37"/>
      <c r="I96" s="37"/>
      <c r="J96" s="37"/>
      <c r="L96" s="37"/>
      <c r="M96" s="37"/>
      <c r="N96" s="37"/>
      <c r="O96" s="37"/>
      <c r="P96" s="37"/>
      <c r="Q96" s="37"/>
    </row>
    <row r="97" spans="1:18" ht="15.75" x14ac:dyDescent="0.25">
      <c r="C97" s="43" t="s">
        <v>127</v>
      </c>
      <c r="D97" s="43" t="s">
        <v>159</v>
      </c>
      <c r="E97" s="37"/>
      <c r="H97" s="37">
        <f>H83-H85-H91</f>
        <v>2250.0000299999956</v>
      </c>
      <c r="I97" s="37"/>
      <c r="J97" s="37"/>
      <c r="L97" s="37"/>
      <c r="M97" s="37"/>
      <c r="N97" s="37"/>
      <c r="O97" s="37"/>
      <c r="P97" s="37"/>
      <c r="Q97" s="37"/>
    </row>
    <row r="98" spans="1:18" x14ac:dyDescent="0.2">
      <c r="B98" s="37" t="str">
        <f>$C$97&amp;C98</f>
        <v>OCP</v>
      </c>
      <c r="C98" s="37" t="s">
        <v>119</v>
      </c>
      <c r="D98" s="37" t="s">
        <v>107</v>
      </c>
      <c r="E98" s="37"/>
      <c r="H98" s="37"/>
      <c r="I98" s="37">
        <f>I76-I86-I92</f>
        <v>0</v>
      </c>
      <c r="J98" s="37"/>
      <c r="L98" s="40">
        <f t="shared" ref="L98:N99" si="30">$I98/$J$77*L$77</f>
        <v>0</v>
      </c>
      <c r="M98" s="40">
        <f t="shared" si="30"/>
        <v>0</v>
      </c>
      <c r="N98" s="40">
        <f t="shared" si="30"/>
        <v>0</v>
      </c>
      <c r="O98" s="40">
        <f t="shared" ref="O98:Q99" si="31">$I98/$J$77*O$77</f>
        <v>0</v>
      </c>
      <c r="P98" s="40">
        <f t="shared" si="31"/>
        <v>0</v>
      </c>
      <c r="Q98" s="40">
        <f t="shared" si="31"/>
        <v>0</v>
      </c>
    </row>
    <row r="99" spans="1:18" x14ac:dyDescent="0.2">
      <c r="B99" s="37" t="str">
        <f>$C$97&amp;C99</f>
        <v>OCO</v>
      </c>
      <c r="C99" s="37" t="s">
        <v>120</v>
      </c>
      <c r="D99" s="37" t="s">
        <v>121</v>
      </c>
      <c r="E99" s="37"/>
      <c r="H99" s="37"/>
      <c r="I99" s="37">
        <f>I77-I87-I93</f>
        <v>0</v>
      </c>
      <c r="J99" s="37"/>
      <c r="L99" s="40">
        <f t="shared" si="30"/>
        <v>0</v>
      </c>
      <c r="M99" s="40">
        <f t="shared" si="30"/>
        <v>0</v>
      </c>
      <c r="N99" s="40">
        <f t="shared" si="30"/>
        <v>0</v>
      </c>
      <c r="O99" s="40">
        <f t="shared" si="31"/>
        <v>0</v>
      </c>
      <c r="P99" s="40">
        <f t="shared" si="31"/>
        <v>0</v>
      </c>
      <c r="Q99" s="40">
        <f t="shared" si="31"/>
        <v>0</v>
      </c>
    </row>
    <row r="100" spans="1:18" x14ac:dyDescent="0.2">
      <c r="B100" s="37" t="str">
        <f>$C$97&amp;C100</f>
        <v>OKP</v>
      </c>
      <c r="C100" s="37" t="s">
        <v>140</v>
      </c>
      <c r="D100" s="37" t="s">
        <v>108</v>
      </c>
      <c r="E100" s="37"/>
      <c r="H100" s="37"/>
      <c r="I100" s="37">
        <f>I78-I88-I94</f>
        <v>0</v>
      </c>
      <c r="J100" s="37"/>
      <c r="L100" s="37">
        <f t="shared" ref="L100:N101" si="32">$I100/$J$79*L$79</f>
        <v>0</v>
      </c>
      <c r="M100" s="37">
        <f t="shared" si="32"/>
        <v>0</v>
      </c>
      <c r="N100" s="37">
        <f t="shared" si="32"/>
        <v>0</v>
      </c>
      <c r="O100" s="37">
        <f t="shared" ref="O100:Q101" si="33">$I100/$J$79*O$79</f>
        <v>0</v>
      </c>
      <c r="P100" s="37">
        <f t="shared" si="33"/>
        <v>0</v>
      </c>
      <c r="Q100" s="37">
        <f t="shared" si="33"/>
        <v>0</v>
      </c>
    </row>
    <row r="101" spans="1:18" x14ac:dyDescent="0.2">
      <c r="B101" s="37" t="str">
        <f>$C$97&amp;C101</f>
        <v>OKO</v>
      </c>
      <c r="C101" s="37" t="s">
        <v>141</v>
      </c>
      <c r="D101" s="37" t="s">
        <v>109</v>
      </c>
      <c r="E101" s="37"/>
      <c r="H101" s="37"/>
      <c r="I101" s="37">
        <f>I79-I89-I95</f>
        <v>6173.200078193855</v>
      </c>
      <c r="J101" s="37"/>
      <c r="L101" s="37">
        <f t="shared" si="32"/>
        <v>3056.2500362370761</v>
      </c>
      <c r="M101" s="37">
        <f t="shared" si="32"/>
        <v>1476.4500175058424</v>
      </c>
      <c r="N101" s="37">
        <f t="shared" si="32"/>
        <v>1640.5000194509362</v>
      </c>
      <c r="O101" s="37">
        <f t="shared" si="33"/>
        <v>0</v>
      </c>
      <c r="P101" s="37">
        <f t="shared" si="33"/>
        <v>0</v>
      </c>
      <c r="Q101" s="37">
        <f t="shared" si="33"/>
        <v>0</v>
      </c>
    </row>
    <row r="102" spans="1:18" x14ac:dyDescent="0.2">
      <c r="C102" s="37"/>
      <c r="D102" s="37"/>
      <c r="E102" s="37"/>
      <c r="H102" s="37"/>
      <c r="I102" s="37"/>
      <c r="J102" s="37"/>
      <c r="L102" s="37"/>
      <c r="M102" s="37"/>
      <c r="N102" s="37"/>
      <c r="O102" s="37"/>
      <c r="P102" s="37"/>
      <c r="Q102" s="37"/>
    </row>
    <row r="103" spans="1:18" x14ac:dyDescent="0.2">
      <c r="C103" s="37"/>
      <c r="D103" s="37" t="s">
        <v>106</v>
      </c>
      <c r="E103" s="37"/>
      <c r="H103" s="44">
        <f>SUM(H85:H102)</f>
        <v>45000.000029999996</v>
      </c>
      <c r="I103" s="44">
        <f>SUM(I85:I102)</f>
        <v>123464</v>
      </c>
      <c r="J103" s="44"/>
      <c r="L103" s="44">
        <f t="shared" ref="L103:Q103" si="34">SUM(L85:L102)</f>
        <v>61124.999950491641</v>
      </c>
      <c r="M103" s="44">
        <f t="shared" si="34"/>
        <v>29528.999976082905</v>
      </c>
      <c r="N103" s="44">
        <f t="shared" si="34"/>
        <v>32809.999973425452</v>
      </c>
      <c r="O103" s="44">
        <f t="shared" si="34"/>
        <v>0</v>
      </c>
      <c r="P103" s="44">
        <f t="shared" si="34"/>
        <v>0</v>
      </c>
      <c r="Q103" s="44">
        <f t="shared" si="34"/>
        <v>0</v>
      </c>
    </row>
    <row r="104" spans="1:18" x14ac:dyDescent="0.2">
      <c r="C104" s="37"/>
      <c r="D104" s="37" t="s">
        <v>132</v>
      </c>
      <c r="E104" s="37"/>
      <c r="H104" s="37">
        <f>H83-H103</f>
        <v>0</v>
      </c>
      <c r="I104" s="37">
        <f>I81-I103</f>
        <v>0</v>
      </c>
      <c r="J104" s="37"/>
      <c r="L104" s="37">
        <f t="shared" ref="L104:Q104" si="35">L81-L103</f>
        <v>4.9508358642924577E-5</v>
      </c>
      <c r="M104" s="37">
        <f t="shared" si="35"/>
        <v>2.3917094949865714E-5</v>
      </c>
      <c r="N104" s="37">
        <f t="shared" si="35"/>
        <v>2.6574547518976033E-5</v>
      </c>
      <c r="O104" s="37">
        <f t="shared" si="35"/>
        <v>0</v>
      </c>
      <c r="P104" s="37">
        <f t="shared" si="35"/>
        <v>0</v>
      </c>
      <c r="Q104" s="37">
        <f t="shared" si="35"/>
        <v>0</v>
      </c>
    </row>
    <row r="105" spans="1:18" x14ac:dyDescent="0.2"/>
    <row r="106" spans="1:18" x14ac:dyDescent="0.2">
      <c r="B106" s="41" t="s">
        <v>160</v>
      </c>
      <c r="C106" s="41" t="s">
        <v>160</v>
      </c>
      <c r="D106" s="41" t="s">
        <v>160</v>
      </c>
      <c r="E106" s="41" t="s">
        <v>160</v>
      </c>
      <c r="F106" s="41" t="s">
        <v>160</v>
      </c>
      <c r="G106" s="41" t="s">
        <v>160</v>
      </c>
      <c r="H106" s="41" t="s">
        <v>160</v>
      </c>
      <c r="I106" s="41" t="s">
        <v>160</v>
      </c>
      <c r="J106" s="41" t="s">
        <v>160</v>
      </c>
      <c r="K106" s="41" t="s">
        <v>160</v>
      </c>
      <c r="L106" s="41" t="s">
        <v>160</v>
      </c>
      <c r="M106" s="41" t="s">
        <v>160</v>
      </c>
      <c r="N106" s="41" t="s">
        <v>160</v>
      </c>
      <c r="O106" s="41" t="s">
        <v>160</v>
      </c>
      <c r="P106" s="41" t="s">
        <v>160</v>
      </c>
      <c r="Q106" s="41" t="s">
        <v>160</v>
      </c>
      <c r="R106" s="41" t="s">
        <v>160</v>
      </c>
    </row>
    <row r="107" spans="1:18" x14ac:dyDescent="0.2"/>
    <row r="108" spans="1:18" x14ac:dyDescent="0.2">
      <c r="A108" s="16" t="s">
        <v>160</v>
      </c>
      <c r="B108" s="16" t="str">
        <f>$B$1</f>
        <v>H:\Acctg\2008\MHSA\CostReport\07-08 Annual Report2.xls</v>
      </c>
    </row>
    <row r="109" spans="1:18" ht="15.75" x14ac:dyDescent="0.25">
      <c r="B109" s="33" t="str">
        <f>B73</f>
        <v>Worksheet</v>
      </c>
    </row>
    <row r="110" spans="1:18" x14ac:dyDescent="0.2"/>
    <row r="111" spans="1:18" ht="15.75" x14ac:dyDescent="0.25">
      <c r="C111" s="42" t="s">
        <v>134</v>
      </c>
      <c r="D111" s="43" t="s">
        <v>154</v>
      </c>
      <c r="E111" s="37"/>
      <c r="F111" s="31"/>
      <c r="H111" s="31" t="s">
        <v>124</v>
      </c>
      <c r="I111" s="31" t="s">
        <v>103</v>
      </c>
      <c r="J111" s="31" t="s">
        <v>137</v>
      </c>
      <c r="L111" s="31" t="s">
        <v>0</v>
      </c>
      <c r="M111" s="31" t="s">
        <v>110</v>
      </c>
      <c r="N111" s="31" t="s">
        <v>122</v>
      </c>
      <c r="O111" s="31" t="s">
        <v>196</v>
      </c>
      <c r="P111" s="31" t="s">
        <v>3</v>
      </c>
      <c r="Q111" s="31" t="s">
        <v>131</v>
      </c>
    </row>
    <row r="112" spans="1:18" x14ac:dyDescent="0.2">
      <c r="C112" s="37" t="s">
        <v>119</v>
      </c>
      <c r="D112" s="37" t="s">
        <v>107</v>
      </c>
      <c r="E112" s="37"/>
      <c r="H112" s="37">
        <f>322349+1</f>
        <v>322350</v>
      </c>
      <c r="I112" s="40">
        <f>I9</f>
        <v>354335</v>
      </c>
      <c r="J112" s="37"/>
      <c r="M112" s="37"/>
      <c r="N112" s="37"/>
      <c r="Q112" s="37"/>
    </row>
    <row r="113" spans="2:17" x14ac:dyDescent="0.2">
      <c r="C113" s="37" t="s">
        <v>120</v>
      </c>
      <c r="D113" s="37" t="s">
        <v>121</v>
      </c>
      <c r="E113" s="37"/>
      <c r="H113" s="37">
        <f>41938+4752</f>
        <v>46690</v>
      </c>
      <c r="I113" s="40">
        <f>J9</f>
        <v>0</v>
      </c>
      <c r="J113" s="37">
        <f>I112+I113+0.00001</f>
        <v>354335.00001000002</v>
      </c>
      <c r="L113" s="40">
        <f t="shared" ref="L113:Q113" si="36">L9</f>
        <v>22331</v>
      </c>
      <c r="M113" s="40">
        <f t="shared" si="36"/>
        <v>157265</v>
      </c>
      <c r="N113" s="40">
        <f t="shared" si="36"/>
        <v>174739</v>
      </c>
      <c r="O113" s="40">
        <f t="shared" si="36"/>
        <v>0</v>
      </c>
      <c r="P113" s="40">
        <f t="shared" si="36"/>
        <v>0</v>
      </c>
      <c r="Q113" s="40">
        <f t="shared" si="36"/>
        <v>0</v>
      </c>
    </row>
    <row r="114" spans="2:17" x14ac:dyDescent="0.2">
      <c r="C114" s="37" t="s">
        <v>140</v>
      </c>
      <c r="D114" s="37" t="s">
        <v>108</v>
      </c>
      <c r="E114" s="37"/>
      <c r="H114" s="37">
        <v>0</v>
      </c>
      <c r="I114" s="40">
        <f>I10</f>
        <v>0</v>
      </c>
      <c r="J114" s="37"/>
      <c r="L114" s="37"/>
      <c r="M114" s="37"/>
      <c r="N114" s="37"/>
      <c r="O114" s="37"/>
      <c r="P114" s="37"/>
      <c r="Q114" s="37"/>
    </row>
    <row r="115" spans="2:17" x14ac:dyDescent="0.2">
      <c r="C115" s="37" t="s">
        <v>141</v>
      </c>
      <c r="D115" s="37" t="s">
        <v>109</v>
      </c>
      <c r="E115" s="37"/>
      <c r="H115" s="37">
        <v>260000</v>
      </c>
      <c r="I115" s="40">
        <f>J10</f>
        <v>34888</v>
      </c>
      <c r="J115" s="37">
        <f>I114+I115+0.00001</f>
        <v>34888.000010000003</v>
      </c>
      <c r="L115" s="40">
        <f t="shared" ref="L115:Q115" si="37">L10</f>
        <v>17750</v>
      </c>
      <c r="M115" s="40">
        <f t="shared" si="37"/>
        <v>8118</v>
      </c>
      <c r="N115" s="40">
        <f t="shared" si="37"/>
        <v>9020</v>
      </c>
      <c r="O115" s="40">
        <f t="shared" si="37"/>
        <v>0</v>
      </c>
      <c r="P115" s="40">
        <f t="shared" si="37"/>
        <v>0</v>
      </c>
      <c r="Q115" s="40">
        <f t="shared" si="37"/>
        <v>0</v>
      </c>
    </row>
    <row r="116" spans="2:17" x14ac:dyDescent="0.2">
      <c r="C116" s="37"/>
      <c r="D116" s="37"/>
      <c r="E116" s="37"/>
      <c r="H116" s="37"/>
      <c r="I116" s="37"/>
      <c r="J116" s="37"/>
      <c r="M116" s="37"/>
      <c r="N116" s="37"/>
      <c r="O116" s="37"/>
      <c r="P116" s="37"/>
      <c r="Q116" s="37"/>
    </row>
    <row r="117" spans="2:17" x14ac:dyDescent="0.2">
      <c r="C117" s="37"/>
      <c r="D117" s="37" t="s">
        <v>106</v>
      </c>
      <c r="E117" s="37"/>
      <c r="H117" s="44">
        <f>SUM(H112:H115)</f>
        <v>629040</v>
      </c>
      <c r="I117" s="44">
        <f>SUM(I112:I115)</f>
        <v>389223</v>
      </c>
      <c r="J117" s="44">
        <f>SUM(J112:J115)</f>
        <v>389223.00002000004</v>
      </c>
      <c r="L117" s="44">
        <f t="shared" ref="L117:Q117" si="38">SUM(L113:L115)</f>
        <v>40081</v>
      </c>
      <c r="M117" s="44">
        <f t="shared" si="38"/>
        <v>165383</v>
      </c>
      <c r="N117" s="44">
        <f t="shared" si="38"/>
        <v>183759</v>
      </c>
      <c r="O117" s="44">
        <f t="shared" si="38"/>
        <v>0</v>
      </c>
      <c r="P117" s="44">
        <f t="shared" si="38"/>
        <v>0</v>
      </c>
      <c r="Q117" s="44">
        <f t="shared" si="38"/>
        <v>0</v>
      </c>
    </row>
    <row r="118" spans="2:17" x14ac:dyDescent="0.2">
      <c r="C118" s="37"/>
      <c r="D118" s="37" t="s">
        <v>123</v>
      </c>
      <c r="E118" s="37"/>
      <c r="H118" s="37">
        <v>601040</v>
      </c>
      <c r="I118" s="37">
        <f>SUM(L117:Q117)</f>
        <v>389223</v>
      </c>
      <c r="J118" s="37">
        <f>H118-I118</f>
        <v>211817</v>
      </c>
      <c r="M118" s="37"/>
      <c r="N118" s="37"/>
      <c r="Q118" s="37"/>
    </row>
    <row r="119" spans="2:17" x14ac:dyDescent="0.2">
      <c r="C119" s="37"/>
      <c r="D119" s="37" t="s">
        <v>128</v>
      </c>
      <c r="E119" s="37"/>
      <c r="H119" s="44">
        <f>H117-H118</f>
        <v>28000</v>
      </c>
      <c r="I119" s="44">
        <f>I117-I118</f>
        <v>0</v>
      </c>
      <c r="J119" s="45"/>
      <c r="M119" s="37"/>
      <c r="N119" s="37"/>
      <c r="Q119" s="37"/>
    </row>
    <row r="120" spans="2:17" x14ac:dyDescent="0.2">
      <c r="C120" s="37"/>
      <c r="D120" s="37"/>
      <c r="E120" s="37"/>
      <c r="H120" s="37"/>
      <c r="I120" s="37"/>
      <c r="J120" s="37"/>
      <c r="M120" s="37"/>
      <c r="N120" s="37"/>
      <c r="Q120" s="37"/>
    </row>
    <row r="121" spans="2:17" ht="15.75" x14ac:dyDescent="0.25">
      <c r="C121" s="43" t="s">
        <v>125</v>
      </c>
      <c r="D121" s="43" t="s">
        <v>129</v>
      </c>
      <c r="E121" s="37"/>
      <c r="H121" s="37">
        <v>0</v>
      </c>
      <c r="I121" s="37"/>
      <c r="J121" s="37"/>
      <c r="L121" s="31" t="s">
        <v>0</v>
      </c>
      <c r="M121" s="31" t="s">
        <v>110</v>
      </c>
      <c r="N121" s="31" t="s">
        <v>122</v>
      </c>
      <c r="O121" s="31" t="s">
        <v>196</v>
      </c>
      <c r="P121" s="31" t="s">
        <v>3</v>
      </c>
      <c r="Q121" s="31" t="s">
        <v>131</v>
      </c>
    </row>
    <row r="122" spans="2:17" x14ac:dyDescent="0.2">
      <c r="B122" s="37" t="str">
        <f>$C$121&amp;C122</f>
        <v>FCP</v>
      </c>
      <c r="C122" s="37" t="s">
        <v>119</v>
      </c>
      <c r="D122" s="37" t="s">
        <v>107</v>
      </c>
      <c r="E122" s="37"/>
      <c r="H122" s="37"/>
      <c r="I122" s="37">
        <f>H121/H139*I112</f>
        <v>0</v>
      </c>
      <c r="J122" s="40" t="str">
        <f ca="1">"Row "&amp;CELL("row",M113)</f>
        <v>Row 113</v>
      </c>
      <c r="L122" s="40">
        <f t="shared" ref="L122:N123" si="39">$I122/$J$113*L$113</f>
        <v>0</v>
      </c>
      <c r="M122" s="40">
        <f t="shared" si="39"/>
        <v>0</v>
      </c>
      <c r="N122" s="40">
        <f t="shared" si="39"/>
        <v>0</v>
      </c>
      <c r="O122" s="40">
        <f t="shared" ref="O122:Q123" si="40">$I122/$J$113*O$113</f>
        <v>0</v>
      </c>
      <c r="P122" s="40">
        <f t="shared" si="40"/>
        <v>0</v>
      </c>
      <c r="Q122" s="40">
        <f t="shared" si="40"/>
        <v>0</v>
      </c>
    </row>
    <row r="123" spans="2:17" x14ac:dyDescent="0.2">
      <c r="B123" s="37" t="str">
        <f>$C$121&amp;C123</f>
        <v>FCO</v>
      </c>
      <c r="C123" s="37" t="s">
        <v>120</v>
      </c>
      <c r="D123" s="37" t="s">
        <v>121</v>
      </c>
      <c r="E123" s="37"/>
      <c r="H123" s="37"/>
      <c r="I123" s="37">
        <f>H121/H139*I113</f>
        <v>0</v>
      </c>
      <c r="J123" s="37"/>
      <c r="L123" s="40">
        <f t="shared" si="39"/>
        <v>0</v>
      </c>
      <c r="M123" s="40">
        <f t="shared" si="39"/>
        <v>0</v>
      </c>
      <c r="N123" s="40">
        <f t="shared" si="39"/>
        <v>0</v>
      </c>
      <c r="O123" s="40">
        <f t="shared" si="40"/>
        <v>0</v>
      </c>
      <c r="P123" s="40">
        <f t="shared" si="40"/>
        <v>0</v>
      </c>
      <c r="Q123" s="40">
        <f t="shared" si="40"/>
        <v>0</v>
      </c>
    </row>
    <row r="124" spans="2:17" x14ac:dyDescent="0.2">
      <c r="B124" s="37" t="str">
        <f>$C$121&amp;C124</f>
        <v>FKP</v>
      </c>
      <c r="C124" s="37" t="s">
        <v>140</v>
      </c>
      <c r="D124" s="37" t="s">
        <v>108</v>
      </c>
      <c r="E124" s="37"/>
      <c r="H124" s="37"/>
      <c r="I124" s="37">
        <f>H121/H139*I114</f>
        <v>0</v>
      </c>
      <c r="J124" s="37" t="str">
        <f ca="1">"Row "&amp;CELL("row",M115)</f>
        <v>Row 115</v>
      </c>
      <c r="L124" s="37">
        <f t="shared" ref="L124:N125" si="41">$I124/$J$115*L$115</f>
        <v>0</v>
      </c>
      <c r="M124" s="37">
        <f t="shared" si="41"/>
        <v>0</v>
      </c>
      <c r="N124" s="37">
        <f t="shared" si="41"/>
        <v>0</v>
      </c>
      <c r="O124" s="37">
        <f t="shared" ref="O124:Q125" si="42">$I124/$J$115*O$115</f>
        <v>0</v>
      </c>
      <c r="P124" s="37">
        <f t="shared" si="42"/>
        <v>0</v>
      </c>
      <c r="Q124" s="37">
        <f t="shared" si="42"/>
        <v>0</v>
      </c>
    </row>
    <row r="125" spans="2:17" x14ac:dyDescent="0.2">
      <c r="B125" s="37" t="str">
        <f>$C$121&amp;C125</f>
        <v>FKO</v>
      </c>
      <c r="C125" s="37" t="s">
        <v>141</v>
      </c>
      <c r="D125" s="37" t="s">
        <v>109</v>
      </c>
      <c r="E125" s="37"/>
      <c r="H125" s="37"/>
      <c r="I125" s="37">
        <f>H121/H139*I115</f>
        <v>0</v>
      </c>
      <c r="J125" s="37"/>
      <c r="L125" s="37">
        <f t="shared" si="41"/>
        <v>0</v>
      </c>
      <c r="M125" s="37">
        <f t="shared" si="41"/>
        <v>0</v>
      </c>
      <c r="N125" s="37">
        <f t="shared" si="41"/>
        <v>0</v>
      </c>
      <c r="O125" s="37">
        <f t="shared" si="42"/>
        <v>0</v>
      </c>
      <c r="P125" s="37">
        <f t="shared" si="42"/>
        <v>0</v>
      </c>
      <c r="Q125" s="37">
        <f t="shared" si="42"/>
        <v>0</v>
      </c>
    </row>
    <row r="126" spans="2:17" x14ac:dyDescent="0.2">
      <c r="C126" s="37"/>
      <c r="D126" s="37"/>
      <c r="E126" s="37"/>
      <c r="H126" s="37"/>
      <c r="I126" s="37"/>
      <c r="J126" s="37"/>
      <c r="L126" s="37"/>
      <c r="M126" s="37"/>
      <c r="N126" s="37"/>
      <c r="O126" s="37"/>
      <c r="P126" s="37"/>
      <c r="Q126" s="37"/>
    </row>
    <row r="127" spans="2:17" ht="15.75" x14ac:dyDescent="0.25">
      <c r="C127" s="43" t="s">
        <v>126</v>
      </c>
      <c r="D127" s="43" t="s">
        <v>130</v>
      </c>
      <c r="E127" s="37"/>
      <c r="H127" s="37">
        <v>26600</v>
      </c>
      <c r="I127" s="37"/>
      <c r="J127" s="37"/>
      <c r="L127" s="37"/>
      <c r="M127" s="37"/>
      <c r="N127" s="37"/>
      <c r="O127" s="37"/>
      <c r="P127" s="37"/>
      <c r="Q127" s="37"/>
    </row>
    <row r="128" spans="2:17" x14ac:dyDescent="0.2">
      <c r="B128" s="37" t="str">
        <f>$C$127&amp;C128</f>
        <v>SCP</v>
      </c>
      <c r="C128" s="37" t="s">
        <v>119</v>
      </c>
      <c r="D128" s="37" t="s">
        <v>107</v>
      </c>
      <c r="E128" s="37"/>
      <c r="H128" s="37"/>
      <c r="I128" s="37">
        <f>H127/H139*I112</f>
        <v>336618.25</v>
      </c>
      <c r="J128" s="37"/>
      <c r="L128" s="40">
        <f t="shared" ref="L128:N129" si="43">$I128/$J$113*L$113</f>
        <v>21214.449999401288</v>
      </c>
      <c r="M128" s="40">
        <f t="shared" si="43"/>
        <v>149401.74999578358</v>
      </c>
      <c r="N128" s="40">
        <f t="shared" si="43"/>
        <v>166002.04999531512</v>
      </c>
      <c r="O128" s="40">
        <f t="shared" ref="O128:Q129" si="44">$I128/$J$113*O$113</f>
        <v>0</v>
      </c>
      <c r="P128" s="40">
        <f t="shared" si="44"/>
        <v>0</v>
      </c>
      <c r="Q128" s="40">
        <f t="shared" si="44"/>
        <v>0</v>
      </c>
    </row>
    <row r="129" spans="1:18" x14ac:dyDescent="0.2">
      <c r="B129" s="37" t="str">
        <f>$C$127&amp;C129</f>
        <v>SCO</v>
      </c>
      <c r="C129" s="37" t="s">
        <v>120</v>
      </c>
      <c r="D129" s="37" t="s">
        <v>121</v>
      </c>
      <c r="E129" s="37"/>
      <c r="H129" s="37"/>
      <c r="I129" s="37">
        <f>H127/H139*I113</f>
        <v>0</v>
      </c>
      <c r="J129" s="37"/>
      <c r="L129" s="40">
        <f t="shared" si="43"/>
        <v>0</v>
      </c>
      <c r="M129" s="40">
        <f t="shared" si="43"/>
        <v>0</v>
      </c>
      <c r="N129" s="40">
        <f t="shared" si="43"/>
        <v>0</v>
      </c>
      <c r="O129" s="40">
        <f t="shared" si="44"/>
        <v>0</v>
      </c>
      <c r="P129" s="40">
        <f t="shared" si="44"/>
        <v>0</v>
      </c>
      <c r="Q129" s="40">
        <f t="shared" si="44"/>
        <v>0</v>
      </c>
    </row>
    <row r="130" spans="1:18" x14ac:dyDescent="0.2">
      <c r="B130" s="37" t="str">
        <f>$C$127&amp;C130</f>
        <v>SKP</v>
      </c>
      <c r="C130" s="37" t="s">
        <v>140</v>
      </c>
      <c r="D130" s="37" t="s">
        <v>108</v>
      </c>
      <c r="E130" s="37"/>
      <c r="H130" s="37"/>
      <c r="I130" s="37">
        <f>H127/H139*I114</f>
        <v>0</v>
      </c>
      <c r="J130" s="37"/>
      <c r="L130" s="37">
        <f t="shared" ref="L130:N131" si="45">$I130/$J$115*L$115</f>
        <v>0</v>
      </c>
      <c r="M130" s="37">
        <f t="shared" si="45"/>
        <v>0</v>
      </c>
      <c r="N130" s="37">
        <f t="shared" si="45"/>
        <v>0</v>
      </c>
      <c r="O130" s="37">
        <f t="shared" ref="O130:Q131" si="46">$I130/$J$115*O$115</f>
        <v>0</v>
      </c>
      <c r="P130" s="37">
        <f t="shared" si="46"/>
        <v>0</v>
      </c>
      <c r="Q130" s="37">
        <f t="shared" si="46"/>
        <v>0</v>
      </c>
    </row>
    <row r="131" spans="1:18" x14ac:dyDescent="0.2">
      <c r="B131" s="37" t="str">
        <f>$C$127&amp;C131</f>
        <v>SKO</v>
      </c>
      <c r="C131" s="37" t="s">
        <v>141</v>
      </c>
      <c r="D131" s="37" t="s">
        <v>109</v>
      </c>
      <c r="E131" s="37"/>
      <c r="H131" s="37"/>
      <c r="I131" s="37">
        <f>H127/H139*I115</f>
        <v>33143.599999999999</v>
      </c>
      <c r="J131" s="37"/>
      <c r="L131" s="37">
        <f t="shared" si="45"/>
        <v>16862.499995166672</v>
      </c>
      <c r="M131" s="37">
        <f t="shared" si="45"/>
        <v>7712.099997789468</v>
      </c>
      <c r="N131" s="37">
        <f t="shared" si="45"/>
        <v>8568.9999975438532</v>
      </c>
      <c r="O131" s="37">
        <f t="shared" si="46"/>
        <v>0</v>
      </c>
      <c r="P131" s="37">
        <f t="shared" si="46"/>
        <v>0</v>
      </c>
      <c r="Q131" s="37">
        <f t="shared" si="46"/>
        <v>0</v>
      </c>
    </row>
    <row r="132" spans="1:18" x14ac:dyDescent="0.2">
      <c r="C132" s="37"/>
      <c r="D132" s="37"/>
      <c r="E132" s="37"/>
      <c r="H132" s="37"/>
      <c r="I132" s="37"/>
      <c r="J132" s="37"/>
      <c r="L132" s="37"/>
      <c r="M132" s="37"/>
      <c r="N132" s="37"/>
      <c r="O132" s="37"/>
      <c r="P132" s="37"/>
      <c r="Q132" s="37"/>
    </row>
    <row r="133" spans="1:18" ht="15.75" x14ac:dyDescent="0.25">
      <c r="C133" s="43" t="s">
        <v>127</v>
      </c>
      <c r="D133" s="43" t="s">
        <v>159</v>
      </c>
      <c r="E133" s="37"/>
      <c r="H133" s="37">
        <f>H119-H121-H127</f>
        <v>1400</v>
      </c>
      <c r="I133" s="37"/>
      <c r="J133" s="37"/>
      <c r="L133" s="37"/>
      <c r="M133" s="37"/>
      <c r="N133" s="37"/>
      <c r="O133" s="37"/>
      <c r="P133" s="37"/>
      <c r="Q133" s="37"/>
    </row>
    <row r="134" spans="1:18" x14ac:dyDescent="0.2">
      <c r="B134" s="37" t="str">
        <f>$C$133&amp;C134</f>
        <v>OCP</v>
      </c>
      <c r="C134" s="37" t="s">
        <v>119</v>
      </c>
      <c r="D134" s="37" t="s">
        <v>107</v>
      </c>
      <c r="E134" s="37"/>
      <c r="H134" s="37"/>
      <c r="I134" s="37">
        <f>I112-I122-I128</f>
        <v>17716.75</v>
      </c>
      <c r="J134" s="37"/>
      <c r="L134" s="40">
        <f t="shared" ref="L134:N135" si="47">$I134/$J$113*L$113</f>
        <v>1116.5499999684887</v>
      </c>
      <c r="M134" s="40">
        <f t="shared" si="47"/>
        <v>7863.2499997780833</v>
      </c>
      <c r="N134" s="40">
        <f t="shared" si="47"/>
        <v>8736.9499997534258</v>
      </c>
      <c r="O134" s="40">
        <f t="shared" ref="O134:Q135" si="48">$I134/$J$113*O$113</f>
        <v>0</v>
      </c>
      <c r="P134" s="40">
        <f t="shared" si="48"/>
        <v>0</v>
      </c>
      <c r="Q134" s="40">
        <f t="shared" si="48"/>
        <v>0</v>
      </c>
    </row>
    <row r="135" spans="1:18" x14ac:dyDescent="0.2">
      <c r="B135" s="37" t="str">
        <f>$C$133&amp;C135</f>
        <v>OCO</v>
      </c>
      <c r="C135" s="37" t="s">
        <v>120</v>
      </c>
      <c r="D135" s="37" t="s">
        <v>121</v>
      </c>
      <c r="E135" s="37"/>
      <c r="H135" s="37"/>
      <c r="I135" s="37">
        <f>I113-I123-I129</f>
        <v>0</v>
      </c>
      <c r="J135" s="37"/>
      <c r="L135" s="40">
        <f t="shared" si="47"/>
        <v>0</v>
      </c>
      <c r="M135" s="40">
        <f t="shared" si="47"/>
        <v>0</v>
      </c>
      <c r="N135" s="40">
        <f t="shared" si="47"/>
        <v>0</v>
      </c>
      <c r="O135" s="40">
        <f t="shared" si="48"/>
        <v>0</v>
      </c>
      <c r="P135" s="40">
        <f t="shared" si="48"/>
        <v>0</v>
      </c>
      <c r="Q135" s="40">
        <f t="shared" si="48"/>
        <v>0</v>
      </c>
    </row>
    <row r="136" spans="1:18" x14ac:dyDescent="0.2">
      <c r="B136" s="37" t="str">
        <f>$C$133&amp;C136</f>
        <v>OKP</v>
      </c>
      <c r="C136" s="37" t="s">
        <v>140</v>
      </c>
      <c r="D136" s="37" t="s">
        <v>108</v>
      </c>
      <c r="E136" s="37"/>
      <c r="H136" s="37"/>
      <c r="I136" s="37">
        <f>I114-I124-I130</f>
        <v>0</v>
      </c>
      <c r="J136" s="37"/>
      <c r="L136" s="37">
        <f t="shared" ref="L136:N137" si="49">$I136/$J$115*L$115</f>
        <v>0</v>
      </c>
      <c r="M136" s="37">
        <f t="shared" si="49"/>
        <v>0</v>
      </c>
      <c r="N136" s="37">
        <f t="shared" si="49"/>
        <v>0</v>
      </c>
      <c r="O136" s="37">
        <f t="shared" ref="O136:Q137" si="50">$I136/$J$115*O$115</f>
        <v>0</v>
      </c>
      <c r="P136" s="37">
        <f t="shared" si="50"/>
        <v>0</v>
      </c>
      <c r="Q136" s="37">
        <f t="shared" si="50"/>
        <v>0</v>
      </c>
    </row>
    <row r="137" spans="1:18" x14ac:dyDescent="0.2">
      <c r="B137" s="37" t="str">
        <f>$C$133&amp;C137</f>
        <v>OKO</v>
      </c>
      <c r="C137" s="37" t="s">
        <v>141</v>
      </c>
      <c r="D137" s="37" t="s">
        <v>109</v>
      </c>
      <c r="E137" s="37"/>
      <c r="H137" s="37"/>
      <c r="I137" s="37">
        <f>I115-I125-I131</f>
        <v>1744.4000000000015</v>
      </c>
      <c r="J137" s="37"/>
      <c r="L137" s="37">
        <f t="shared" si="49"/>
        <v>887.49999974561513</v>
      </c>
      <c r="M137" s="37">
        <f t="shared" si="49"/>
        <v>405.89999988365656</v>
      </c>
      <c r="N137" s="37">
        <f t="shared" si="49"/>
        <v>450.99999987072948</v>
      </c>
      <c r="O137" s="37">
        <f t="shared" si="50"/>
        <v>0</v>
      </c>
      <c r="P137" s="37">
        <f t="shared" si="50"/>
        <v>0</v>
      </c>
      <c r="Q137" s="37">
        <f t="shared" si="50"/>
        <v>0</v>
      </c>
    </row>
    <row r="138" spans="1:18" x14ac:dyDescent="0.2">
      <c r="C138" s="37"/>
      <c r="D138" s="37"/>
      <c r="E138" s="37"/>
      <c r="H138" s="37"/>
      <c r="I138" s="37"/>
      <c r="J138" s="37"/>
      <c r="L138" s="37"/>
      <c r="M138" s="37"/>
      <c r="N138" s="37"/>
      <c r="O138" s="37"/>
      <c r="P138" s="37"/>
      <c r="Q138" s="37"/>
    </row>
    <row r="139" spans="1:18" x14ac:dyDescent="0.2">
      <c r="C139" s="37"/>
      <c r="D139" s="37" t="s">
        <v>106</v>
      </c>
      <c r="E139" s="37"/>
      <c r="H139" s="44">
        <f>SUM(H121:H138)</f>
        <v>28000</v>
      </c>
      <c r="I139" s="44">
        <f>SUM(I121:I138)</f>
        <v>389223</v>
      </c>
      <c r="J139" s="44"/>
      <c r="L139" s="44">
        <f t="shared" ref="L139:Q139" si="51">SUM(L121:L138)</f>
        <v>40080.999994282065</v>
      </c>
      <c r="M139" s="44">
        <f t="shared" si="51"/>
        <v>165382.99999323479</v>
      </c>
      <c r="N139" s="44">
        <f t="shared" si="51"/>
        <v>183758.99999248309</v>
      </c>
      <c r="O139" s="44">
        <f t="shared" si="51"/>
        <v>0</v>
      </c>
      <c r="P139" s="44">
        <f t="shared" si="51"/>
        <v>0</v>
      </c>
      <c r="Q139" s="44">
        <f t="shared" si="51"/>
        <v>0</v>
      </c>
    </row>
    <row r="140" spans="1:18" x14ac:dyDescent="0.2">
      <c r="C140" s="37"/>
      <c r="D140" s="37" t="s">
        <v>132</v>
      </c>
      <c r="E140" s="37"/>
      <c r="H140" s="37">
        <f>H119-H139</f>
        <v>0</v>
      </c>
      <c r="I140" s="37">
        <f>I117-I139</f>
        <v>0</v>
      </c>
      <c r="J140" s="37"/>
      <c r="L140" s="37">
        <f t="shared" ref="L140:Q140" si="52">L117-L139</f>
        <v>5.7179349823854864E-6</v>
      </c>
      <c r="M140" s="37">
        <f t="shared" si="52"/>
        <v>6.7652144934982061E-6</v>
      </c>
      <c r="N140" s="37">
        <f t="shared" si="52"/>
        <v>7.5169082265347242E-6</v>
      </c>
      <c r="O140" s="37">
        <f t="shared" si="52"/>
        <v>0</v>
      </c>
      <c r="P140" s="37">
        <f t="shared" si="52"/>
        <v>0</v>
      </c>
      <c r="Q140" s="37">
        <f t="shared" si="52"/>
        <v>0</v>
      </c>
    </row>
    <row r="141" spans="1:18" x14ac:dyDescent="0.2"/>
    <row r="142" spans="1:18" x14ac:dyDescent="0.2">
      <c r="B142" s="41" t="s">
        <v>160</v>
      </c>
      <c r="C142" s="41" t="s">
        <v>160</v>
      </c>
      <c r="D142" s="41" t="s">
        <v>160</v>
      </c>
      <c r="E142" s="41" t="s">
        <v>160</v>
      </c>
      <c r="F142" s="41" t="s">
        <v>160</v>
      </c>
      <c r="G142" s="41" t="s">
        <v>160</v>
      </c>
      <c r="H142" s="41" t="s">
        <v>160</v>
      </c>
      <c r="I142" s="41" t="s">
        <v>160</v>
      </c>
      <c r="J142" s="41" t="s">
        <v>160</v>
      </c>
      <c r="K142" s="41" t="s">
        <v>160</v>
      </c>
      <c r="L142" s="41" t="s">
        <v>160</v>
      </c>
      <c r="M142" s="41" t="s">
        <v>160</v>
      </c>
      <c r="N142" s="41" t="s">
        <v>160</v>
      </c>
      <c r="O142" s="41" t="s">
        <v>160</v>
      </c>
      <c r="P142" s="41" t="s">
        <v>160</v>
      </c>
      <c r="Q142" s="41" t="s">
        <v>160</v>
      </c>
      <c r="R142" s="41" t="s">
        <v>160</v>
      </c>
    </row>
    <row r="143" spans="1:18" x14ac:dyDescent="0.2"/>
    <row r="144" spans="1:18" x14ac:dyDescent="0.2">
      <c r="A144" s="16" t="s">
        <v>160</v>
      </c>
      <c r="B144" s="16" t="str">
        <f>$B$1</f>
        <v>H:\Acctg\2008\MHSA\CostReport\07-08 Annual Report2.xls</v>
      </c>
    </row>
    <row r="145" spans="2:17" ht="15.75" x14ac:dyDescent="0.25">
      <c r="B145" s="33" t="str">
        <f>B109</f>
        <v>Worksheet</v>
      </c>
    </row>
    <row r="146" spans="2:17" x14ac:dyDescent="0.2"/>
    <row r="147" spans="2:17" ht="15.75" x14ac:dyDescent="0.25">
      <c r="C147" s="42" t="s">
        <v>135</v>
      </c>
      <c r="D147" s="43" t="s">
        <v>112</v>
      </c>
      <c r="E147" s="37"/>
      <c r="F147" s="31"/>
      <c r="H147" s="31" t="s">
        <v>124</v>
      </c>
      <c r="I147" s="31" t="s">
        <v>103</v>
      </c>
      <c r="J147" s="31" t="s">
        <v>137</v>
      </c>
      <c r="L147" s="31" t="s">
        <v>0</v>
      </c>
      <c r="M147" s="31" t="s">
        <v>110</v>
      </c>
      <c r="N147" s="31" t="s">
        <v>122</v>
      </c>
      <c r="O147" s="31" t="s">
        <v>196</v>
      </c>
      <c r="P147" s="31" t="s">
        <v>3</v>
      </c>
      <c r="Q147" s="31" t="s">
        <v>131</v>
      </c>
    </row>
    <row r="148" spans="2:17" x14ac:dyDescent="0.2">
      <c r="C148" s="37" t="s">
        <v>119</v>
      </c>
      <c r="D148" s="37" t="s">
        <v>107</v>
      </c>
      <c r="E148" s="37"/>
      <c r="H148" s="37">
        <v>94400</v>
      </c>
      <c r="I148" s="40">
        <f>I11</f>
        <v>45713</v>
      </c>
      <c r="J148" s="37"/>
      <c r="M148" s="37"/>
      <c r="N148" s="37"/>
      <c r="Q148" s="37"/>
    </row>
    <row r="149" spans="2:17" x14ac:dyDescent="0.2">
      <c r="C149" s="37" t="s">
        <v>120</v>
      </c>
      <c r="D149" s="37" t="s">
        <v>121</v>
      </c>
      <c r="E149" s="37"/>
      <c r="H149" s="37">
        <f>11171+1</f>
        <v>11172</v>
      </c>
      <c r="I149" s="40">
        <f>J11</f>
        <v>0</v>
      </c>
      <c r="J149" s="37">
        <f>I148+I149+0.00001</f>
        <v>45713.000010000003</v>
      </c>
      <c r="L149" s="40">
        <f t="shared" ref="L149:Q149" si="53">L11</f>
        <v>45522</v>
      </c>
      <c r="M149" s="40">
        <f t="shared" si="53"/>
        <v>90</v>
      </c>
      <c r="N149" s="40">
        <f t="shared" si="53"/>
        <v>101</v>
      </c>
      <c r="O149" s="40">
        <f t="shared" si="53"/>
        <v>0</v>
      </c>
      <c r="P149" s="40">
        <f t="shared" si="53"/>
        <v>0</v>
      </c>
      <c r="Q149" s="40">
        <f t="shared" si="53"/>
        <v>0</v>
      </c>
    </row>
    <row r="150" spans="2:17" x14ac:dyDescent="0.2">
      <c r="C150" s="37" t="s">
        <v>140</v>
      </c>
      <c r="D150" s="37" t="s">
        <v>108</v>
      </c>
      <c r="E150" s="37"/>
      <c r="H150" s="37">
        <f>153600</f>
        <v>153600</v>
      </c>
      <c r="I150" s="40">
        <f>I12</f>
        <v>0</v>
      </c>
      <c r="J150" s="37"/>
      <c r="L150" s="37"/>
      <c r="M150" s="37"/>
      <c r="N150" s="37"/>
      <c r="O150" s="37"/>
      <c r="P150" s="37"/>
      <c r="Q150" s="37"/>
    </row>
    <row r="151" spans="2:17" x14ac:dyDescent="0.2">
      <c r="C151" s="37" t="s">
        <v>141</v>
      </c>
      <c r="D151" s="37" t="s">
        <v>109</v>
      </c>
      <c r="E151" s="37"/>
      <c r="H151" s="37">
        <f>26400+422000</f>
        <v>448400</v>
      </c>
      <c r="I151" s="40">
        <f>J12</f>
        <v>0</v>
      </c>
      <c r="J151" s="37">
        <f>I150+I151+0.00001</f>
        <v>1.0000000000000001E-5</v>
      </c>
      <c r="L151" s="40">
        <f t="shared" ref="L151:Q151" si="54">L12</f>
        <v>0</v>
      </c>
      <c r="M151" s="40">
        <f t="shared" si="54"/>
        <v>0</v>
      </c>
      <c r="N151" s="40">
        <f t="shared" si="54"/>
        <v>0</v>
      </c>
      <c r="O151" s="40">
        <f t="shared" si="54"/>
        <v>0</v>
      </c>
      <c r="P151" s="40">
        <f t="shared" si="54"/>
        <v>0</v>
      </c>
      <c r="Q151" s="40">
        <f t="shared" si="54"/>
        <v>0</v>
      </c>
    </row>
    <row r="152" spans="2:17" x14ac:dyDescent="0.2">
      <c r="C152" s="37"/>
      <c r="D152" s="37"/>
      <c r="E152" s="37"/>
      <c r="H152" s="37"/>
      <c r="I152" s="37"/>
      <c r="J152" s="37"/>
      <c r="L152" s="37"/>
      <c r="M152" s="37"/>
      <c r="N152" s="37"/>
      <c r="O152" s="37"/>
      <c r="P152" s="37"/>
      <c r="Q152" s="37"/>
    </row>
    <row r="153" spans="2:17" x14ac:dyDescent="0.2">
      <c r="C153" s="37"/>
      <c r="D153" s="37" t="s">
        <v>106</v>
      </c>
      <c r="E153" s="37"/>
      <c r="H153" s="44">
        <f>SUM(H148:H151)</f>
        <v>707572</v>
      </c>
      <c r="I153" s="44">
        <f>SUM(I148:I151)</f>
        <v>45713</v>
      </c>
      <c r="J153" s="44">
        <f>SUM(J148:J151)</f>
        <v>45713.000020000007</v>
      </c>
      <c r="L153" s="44">
        <f t="shared" ref="L153:Q153" si="55">SUM(L149:L151)</f>
        <v>45522</v>
      </c>
      <c r="M153" s="44">
        <f t="shared" si="55"/>
        <v>90</v>
      </c>
      <c r="N153" s="44">
        <f t="shared" si="55"/>
        <v>101</v>
      </c>
      <c r="O153" s="44">
        <f t="shared" si="55"/>
        <v>0</v>
      </c>
      <c r="P153" s="44">
        <f t="shared" si="55"/>
        <v>0</v>
      </c>
      <c r="Q153" s="44">
        <f t="shared" si="55"/>
        <v>0</v>
      </c>
    </row>
    <row r="154" spans="2:17" x14ac:dyDescent="0.2">
      <c r="C154" s="37"/>
      <c r="D154" s="37" t="s">
        <v>123</v>
      </c>
      <c r="E154" s="37"/>
      <c r="H154" s="37">
        <v>682572</v>
      </c>
      <c r="I154" s="37">
        <f>SUM(L153:Q153)</f>
        <v>45713</v>
      </c>
      <c r="J154" s="37">
        <f>H154-I154</f>
        <v>636859</v>
      </c>
      <c r="M154" s="37"/>
      <c r="N154" s="37"/>
      <c r="Q154" s="37"/>
    </row>
    <row r="155" spans="2:17" x14ac:dyDescent="0.2">
      <c r="C155" s="37"/>
      <c r="D155" s="37" t="s">
        <v>128</v>
      </c>
      <c r="E155" s="37"/>
      <c r="H155" s="44">
        <f>H153-H154</f>
        <v>25000</v>
      </c>
      <c r="I155" s="44">
        <f>I153-I154</f>
        <v>0</v>
      </c>
      <c r="J155" s="45"/>
      <c r="M155" s="37"/>
      <c r="N155" s="37"/>
      <c r="Q155" s="37"/>
    </row>
    <row r="156" spans="2:17" x14ac:dyDescent="0.2">
      <c r="C156" s="37"/>
      <c r="D156" s="37"/>
      <c r="E156" s="37"/>
      <c r="H156" s="37"/>
      <c r="I156" s="37"/>
      <c r="J156" s="37"/>
      <c r="M156" s="37"/>
      <c r="N156" s="37"/>
      <c r="Q156" s="37"/>
    </row>
    <row r="157" spans="2:17" ht="15.75" x14ac:dyDescent="0.25">
      <c r="C157" s="43" t="s">
        <v>125</v>
      </c>
      <c r="D157" s="43" t="s">
        <v>129</v>
      </c>
      <c r="E157" s="37"/>
      <c r="H157" s="37">
        <v>0</v>
      </c>
      <c r="I157" s="37"/>
      <c r="J157" s="37"/>
      <c r="L157" s="31" t="s">
        <v>0</v>
      </c>
      <c r="M157" s="31" t="s">
        <v>110</v>
      </c>
      <c r="N157" s="31" t="s">
        <v>122</v>
      </c>
      <c r="O157" s="31" t="s">
        <v>196</v>
      </c>
      <c r="P157" s="31" t="s">
        <v>3</v>
      </c>
      <c r="Q157" s="31" t="s">
        <v>131</v>
      </c>
    </row>
    <row r="158" spans="2:17" x14ac:dyDescent="0.2">
      <c r="B158" s="37" t="str">
        <f>$C$157&amp;C158</f>
        <v>FCP</v>
      </c>
      <c r="C158" s="37" t="s">
        <v>119</v>
      </c>
      <c r="D158" s="37" t="s">
        <v>107</v>
      </c>
      <c r="E158" s="37"/>
      <c r="H158" s="37"/>
      <c r="I158" s="37">
        <f>H157/H175*I148</f>
        <v>0</v>
      </c>
      <c r="J158" s="40" t="str">
        <f ca="1">"Row "&amp;CELL("row",M149)</f>
        <v>Row 149</v>
      </c>
      <c r="L158" s="40">
        <f t="shared" ref="L158:Q159" si="56">$I158/$J$149*L$149</f>
        <v>0</v>
      </c>
      <c r="M158" s="40">
        <f t="shared" si="56"/>
        <v>0</v>
      </c>
      <c r="N158" s="40">
        <f t="shared" si="56"/>
        <v>0</v>
      </c>
      <c r="O158" s="40">
        <f t="shared" si="56"/>
        <v>0</v>
      </c>
      <c r="P158" s="40">
        <f t="shared" si="56"/>
        <v>0</v>
      </c>
      <c r="Q158" s="40">
        <f t="shared" si="56"/>
        <v>0</v>
      </c>
    </row>
    <row r="159" spans="2:17" x14ac:dyDescent="0.2">
      <c r="B159" s="37" t="str">
        <f>$C$157&amp;C159</f>
        <v>FCO</v>
      </c>
      <c r="C159" s="37" t="s">
        <v>120</v>
      </c>
      <c r="D159" s="37" t="s">
        <v>121</v>
      </c>
      <c r="E159" s="37"/>
      <c r="H159" s="37"/>
      <c r="I159" s="37">
        <f>H157/H175*I149</f>
        <v>0</v>
      </c>
      <c r="J159" s="37"/>
      <c r="L159" s="40">
        <f t="shared" si="56"/>
        <v>0</v>
      </c>
      <c r="M159" s="40">
        <f t="shared" si="56"/>
        <v>0</v>
      </c>
      <c r="N159" s="40">
        <f t="shared" si="56"/>
        <v>0</v>
      </c>
      <c r="O159" s="40">
        <f t="shared" si="56"/>
        <v>0</v>
      </c>
      <c r="P159" s="40">
        <f t="shared" si="56"/>
        <v>0</v>
      </c>
      <c r="Q159" s="40">
        <f t="shared" si="56"/>
        <v>0</v>
      </c>
    </row>
    <row r="160" spans="2:17" x14ac:dyDescent="0.2">
      <c r="B160" s="37" t="str">
        <f>$C$157&amp;C160</f>
        <v>FKP</v>
      </c>
      <c r="C160" s="37" t="s">
        <v>140</v>
      </c>
      <c r="D160" s="37" t="s">
        <v>108</v>
      </c>
      <c r="E160" s="37"/>
      <c r="H160" s="37"/>
      <c r="I160" s="37">
        <f>H157/H175*I150</f>
        <v>0</v>
      </c>
      <c r="J160" s="37" t="str">
        <f ca="1">"Row "&amp;CELL("row",M151)</f>
        <v>Row 151</v>
      </c>
      <c r="L160" s="37">
        <f t="shared" ref="L160:Q161" si="57">$I160/$J$151*L$151</f>
        <v>0</v>
      </c>
      <c r="M160" s="37">
        <f t="shared" si="57"/>
        <v>0</v>
      </c>
      <c r="N160" s="37">
        <f t="shared" si="57"/>
        <v>0</v>
      </c>
      <c r="O160" s="37">
        <f t="shared" si="57"/>
        <v>0</v>
      </c>
      <c r="P160" s="37">
        <f t="shared" si="57"/>
        <v>0</v>
      </c>
      <c r="Q160" s="37">
        <f t="shared" si="57"/>
        <v>0</v>
      </c>
    </row>
    <row r="161" spans="2:17" x14ac:dyDescent="0.2">
      <c r="B161" s="37" t="str">
        <f>$C$157&amp;C161</f>
        <v>FKO</v>
      </c>
      <c r="C161" s="37" t="s">
        <v>141</v>
      </c>
      <c r="D161" s="37" t="s">
        <v>109</v>
      </c>
      <c r="E161" s="37"/>
      <c r="H161" s="37"/>
      <c r="I161" s="37">
        <f>H157/H175*I151</f>
        <v>0</v>
      </c>
      <c r="J161" s="37"/>
      <c r="L161" s="37">
        <f t="shared" si="57"/>
        <v>0</v>
      </c>
      <c r="M161" s="37">
        <f t="shared" si="57"/>
        <v>0</v>
      </c>
      <c r="N161" s="37">
        <f t="shared" si="57"/>
        <v>0</v>
      </c>
      <c r="O161" s="37">
        <f t="shared" si="57"/>
        <v>0</v>
      </c>
      <c r="P161" s="37">
        <f t="shared" si="57"/>
        <v>0</v>
      </c>
      <c r="Q161" s="37">
        <f t="shared" si="57"/>
        <v>0</v>
      </c>
    </row>
    <row r="162" spans="2:17" x14ac:dyDescent="0.2">
      <c r="C162" s="37"/>
      <c r="D162" s="37"/>
      <c r="E162" s="37"/>
      <c r="H162" s="37"/>
      <c r="I162" s="37"/>
      <c r="J162" s="37"/>
      <c r="L162" s="37"/>
      <c r="M162" s="37"/>
      <c r="N162" s="37"/>
      <c r="O162" s="37"/>
      <c r="P162" s="37"/>
      <c r="Q162" s="37"/>
    </row>
    <row r="163" spans="2:17" ht="15.75" x14ac:dyDescent="0.25">
      <c r="C163" s="43" t="s">
        <v>126</v>
      </c>
      <c r="D163" s="43" t="s">
        <v>130</v>
      </c>
      <c r="E163" s="37"/>
      <c r="H163" s="37">
        <v>23750</v>
      </c>
      <c r="I163" s="37"/>
      <c r="J163" s="37"/>
      <c r="L163" s="37"/>
      <c r="M163" s="37"/>
      <c r="N163" s="37"/>
      <c r="O163" s="37"/>
      <c r="P163" s="37"/>
      <c r="Q163" s="37"/>
    </row>
    <row r="164" spans="2:17" x14ac:dyDescent="0.2">
      <c r="B164" s="37" t="str">
        <f>$C$163&amp;C164</f>
        <v>SCP</v>
      </c>
      <c r="C164" s="37" t="s">
        <v>119</v>
      </c>
      <c r="D164" s="37" t="s">
        <v>107</v>
      </c>
      <c r="E164" s="37"/>
      <c r="H164" s="37"/>
      <c r="I164" s="37">
        <f>H163/H175*I148</f>
        <v>43427.35</v>
      </c>
      <c r="J164" s="37"/>
      <c r="L164" s="40">
        <f t="shared" ref="L164:Q165" si="58">$I164/$J$149*L$149</f>
        <v>43245.899990539685</v>
      </c>
      <c r="M164" s="40">
        <f t="shared" si="58"/>
        <v>85.499999981296341</v>
      </c>
      <c r="N164" s="40">
        <f t="shared" si="58"/>
        <v>95.949999979010329</v>
      </c>
      <c r="O164" s="40">
        <f t="shared" si="58"/>
        <v>0</v>
      </c>
      <c r="P164" s="40">
        <f t="shared" si="58"/>
        <v>0</v>
      </c>
      <c r="Q164" s="40">
        <f t="shared" si="58"/>
        <v>0</v>
      </c>
    </row>
    <row r="165" spans="2:17" x14ac:dyDescent="0.2">
      <c r="B165" s="37" t="str">
        <f>$C$163&amp;C165</f>
        <v>SCO</v>
      </c>
      <c r="C165" s="37" t="s">
        <v>120</v>
      </c>
      <c r="D165" s="37" t="s">
        <v>121</v>
      </c>
      <c r="E165" s="37"/>
      <c r="H165" s="37"/>
      <c r="I165" s="37">
        <f>H163/H175*I149</f>
        <v>0</v>
      </c>
      <c r="J165" s="37"/>
      <c r="L165" s="40">
        <f t="shared" si="58"/>
        <v>0</v>
      </c>
      <c r="M165" s="40">
        <f t="shared" si="58"/>
        <v>0</v>
      </c>
      <c r="N165" s="40">
        <f t="shared" si="58"/>
        <v>0</v>
      </c>
      <c r="O165" s="40">
        <f t="shared" si="58"/>
        <v>0</v>
      </c>
      <c r="P165" s="40">
        <f t="shared" si="58"/>
        <v>0</v>
      </c>
      <c r="Q165" s="40">
        <f t="shared" si="58"/>
        <v>0</v>
      </c>
    </row>
    <row r="166" spans="2:17" x14ac:dyDescent="0.2">
      <c r="B166" s="37" t="str">
        <f>$C$163&amp;C166</f>
        <v>SKP</v>
      </c>
      <c r="C166" s="37" t="s">
        <v>140</v>
      </c>
      <c r="D166" s="37" t="s">
        <v>108</v>
      </c>
      <c r="E166" s="37"/>
      <c r="H166" s="37"/>
      <c r="I166" s="37">
        <f>H163/H175*I150</f>
        <v>0</v>
      </c>
      <c r="J166" s="37"/>
      <c r="L166" s="37">
        <f t="shared" ref="L166:Q167" si="59">$I166/$J$151*L$151</f>
        <v>0</v>
      </c>
      <c r="M166" s="37">
        <f t="shared" si="59"/>
        <v>0</v>
      </c>
      <c r="N166" s="37">
        <f t="shared" si="59"/>
        <v>0</v>
      </c>
      <c r="O166" s="37">
        <f t="shared" si="59"/>
        <v>0</v>
      </c>
      <c r="P166" s="37">
        <f t="shared" si="59"/>
        <v>0</v>
      </c>
      <c r="Q166" s="37">
        <f t="shared" si="59"/>
        <v>0</v>
      </c>
    </row>
    <row r="167" spans="2:17" x14ac:dyDescent="0.2">
      <c r="B167" s="37" t="str">
        <f>$C$163&amp;C167</f>
        <v>SKO</v>
      </c>
      <c r="C167" s="37" t="s">
        <v>141</v>
      </c>
      <c r="D167" s="37" t="s">
        <v>109</v>
      </c>
      <c r="E167" s="37"/>
      <c r="H167" s="37"/>
      <c r="I167" s="37">
        <f>H163/H175*I151</f>
        <v>0</v>
      </c>
      <c r="J167" s="37"/>
      <c r="L167" s="37">
        <f t="shared" si="59"/>
        <v>0</v>
      </c>
      <c r="M167" s="37">
        <f t="shared" si="59"/>
        <v>0</v>
      </c>
      <c r="N167" s="37">
        <f t="shared" si="59"/>
        <v>0</v>
      </c>
      <c r="O167" s="37">
        <f t="shared" si="59"/>
        <v>0</v>
      </c>
      <c r="P167" s="37">
        <f t="shared" si="59"/>
        <v>0</v>
      </c>
      <c r="Q167" s="37">
        <f t="shared" si="59"/>
        <v>0</v>
      </c>
    </row>
    <row r="168" spans="2:17" x14ac:dyDescent="0.2">
      <c r="C168" s="37"/>
      <c r="D168" s="37"/>
      <c r="E168" s="37"/>
      <c r="H168" s="37"/>
      <c r="I168" s="37"/>
      <c r="J168" s="37"/>
      <c r="L168" s="37"/>
      <c r="M168" s="37"/>
      <c r="N168" s="37"/>
      <c r="O168" s="37"/>
      <c r="P168" s="37"/>
      <c r="Q168" s="37"/>
    </row>
    <row r="169" spans="2:17" ht="15.75" x14ac:dyDescent="0.25">
      <c r="C169" s="43" t="s">
        <v>127</v>
      </c>
      <c r="D169" s="43" t="s">
        <v>159</v>
      </c>
      <c r="E169" s="37"/>
      <c r="H169" s="37">
        <f>H155-H157-H163</f>
        <v>1250</v>
      </c>
      <c r="I169" s="37"/>
      <c r="J169" s="37"/>
      <c r="L169" s="37"/>
      <c r="M169" s="37"/>
      <c r="N169" s="37"/>
      <c r="O169" s="37"/>
      <c r="P169" s="37"/>
      <c r="Q169" s="37"/>
    </row>
    <row r="170" spans="2:17" x14ac:dyDescent="0.2">
      <c r="B170" s="37" t="str">
        <f>$C$169&amp;C170</f>
        <v>OCP</v>
      </c>
      <c r="C170" s="37" t="s">
        <v>119</v>
      </c>
      <c r="D170" s="37" t="s">
        <v>107</v>
      </c>
      <c r="E170" s="37"/>
      <c r="H170" s="37"/>
      <c r="I170" s="37">
        <f>I148-I158-I164</f>
        <v>2285.6500000000015</v>
      </c>
      <c r="J170" s="37"/>
      <c r="L170" s="40">
        <f t="shared" ref="L170:Q171" si="60">$I170/$J$149*L$149</f>
        <v>2276.0999995020902</v>
      </c>
      <c r="M170" s="40">
        <f t="shared" si="60"/>
        <v>4.4999999990155999</v>
      </c>
      <c r="N170" s="40">
        <f t="shared" si="60"/>
        <v>5.0499999988952844</v>
      </c>
      <c r="O170" s="40">
        <f t="shared" si="60"/>
        <v>0</v>
      </c>
      <c r="P170" s="40">
        <f t="shared" si="60"/>
        <v>0</v>
      </c>
      <c r="Q170" s="40">
        <f t="shared" si="60"/>
        <v>0</v>
      </c>
    </row>
    <row r="171" spans="2:17" x14ac:dyDescent="0.2">
      <c r="B171" s="37" t="str">
        <f>$C$169&amp;C171</f>
        <v>OCO</v>
      </c>
      <c r="C171" s="37" t="s">
        <v>120</v>
      </c>
      <c r="D171" s="37" t="s">
        <v>121</v>
      </c>
      <c r="E171" s="37"/>
      <c r="H171" s="37"/>
      <c r="I171" s="37">
        <f>I149-I159-I165</f>
        <v>0</v>
      </c>
      <c r="J171" s="37"/>
      <c r="L171" s="40">
        <f t="shared" si="60"/>
        <v>0</v>
      </c>
      <c r="M171" s="40">
        <f t="shared" si="60"/>
        <v>0</v>
      </c>
      <c r="N171" s="40">
        <f t="shared" si="60"/>
        <v>0</v>
      </c>
      <c r="O171" s="40">
        <f t="shared" si="60"/>
        <v>0</v>
      </c>
      <c r="P171" s="40">
        <f t="shared" si="60"/>
        <v>0</v>
      </c>
      <c r="Q171" s="40">
        <f t="shared" si="60"/>
        <v>0</v>
      </c>
    </row>
    <row r="172" spans="2:17" x14ac:dyDescent="0.2">
      <c r="B172" s="37" t="str">
        <f>$C$169&amp;C172</f>
        <v>OKP</v>
      </c>
      <c r="C172" s="37" t="s">
        <v>140</v>
      </c>
      <c r="D172" s="37" t="s">
        <v>108</v>
      </c>
      <c r="E172" s="37"/>
      <c r="H172" s="37"/>
      <c r="I172" s="37">
        <f>I150-I160-I166</f>
        <v>0</v>
      </c>
      <c r="J172" s="37"/>
      <c r="L172" s="37">
        <f t="shared" ref="L172:Q173" si="61">$I172/$J$151*L$151</f>
        <v>0</v>
      </c>
      <c r="M172" s="37">
        <f t="shared" si="61"/>
        <v>0</v>
      </c>
      <c r="N172" s="37">
        <f t="shared" si="61"/>
        <v>0</v>
      </c>
      <c r="O172" s="37">
        <f t="shared" si="61"/>
        <v>0</v>
      </c>
      <c r="P172" s="37">
        <f t="shared" si="61"/>
        <v>0</v>
      </c>
      <c r="Q172" s="37">
        <f t="shared" si="61"/>
        <v>0</v>
      </c>
    </row>
    <row r="173" spans="2:17" x14ac:dyDescent="0.2">
      <c r="B173" s="37" t="str">
        <f>$C$169&amp;C173</f>
        <v>OKO</v>
      </c>
      <c r="C173" s="37" t="s">
        <v>141</v>
      </c>
      <c r="D173" s="37" t="s">
        <v>109</v>
      </c>
      <c r="E173" s="37"/>
      <c r="H173" s="37"/>
      <c r="I173" s="37">
        <f>I151-I161-I167</f>
        <v>0</v>
      </c>
      <c r="J173" s="37"/>
      <c r="L173" s="37">
        <f t="shared" si="61"/>
        <v>0</v>
      </c>
      <c r="M173" s="37">
        <f t="shared" si="61"/>
        <v>0</v>
      </c>
      <c r="N173" s="37">
        <f t="shared" si="61"/>
        <v>0</v>
      </c>
      <c r="O173" s="37">
        <f t="shared" si="61"/>
        <v>0</v>
      </c>
      <c r="P173" s="37">
        <f t="shared" si="61"/>
        <v>0</v>
      </c>
      <c r="Q173" s="37">
        <f t="shared" si="61"/>
        <v>0</v>
      </c>
    </row>
    <row r="174" spans="2:17" x14ac:dyDescent="0.2">
      <c r="C174" s="37"/>
      <c r="D174" s="37"/>
      <c r="E174" s="37"/>
      <c r="H174" s="37"/>
      <c r="I174" s="37"/>
      <c r="J174" s="37"/>
      <c r="L174" s="37"/>
      <c r="M174" s="37"/>
      <c r="N174" s="37"/>
      <c r="O174" s="37"/>
      <c r="P174" s="37"/>
      <c r="Q174" s="37"/>
    </row>
    <row r="175" spans="2:17" x14ac:dyDescent="0.2">
      <c r="C175" s="37"/>
      <c r="D175" s="37" t="s">
        <v>106</v>
      </c>
      <c r="E175" s="37"/>
      <c r="H175" s="44">
        <f>SUM(H157:H174)</f>
        <v>25000</v>
      </c>
      <c r="I175" s="44">
        <f>SUM(I157:I174)</f>
        <v>45713</v>
      </c>
      <c r="J175" s="44"/>
      <c r="L175" s="44">
        <f t="shared" ref="L175:Q175" si="62">SUM(L157:L174)</f>
        <v>45521.999990041775</v>
      </c>
      <c r="M175" s="44">
        <f t="shared" si="62"/>
        <v>89.999999980311941</v>
      </c>
      <c r="N175" s="44">
        <f t="shared" si="62"/>
        <v>100.99999997790562</v>
      </c>
      <c r="O175" s="44">
        <f t="shared" si="62"/>
        <v>0</v>
      </c>
      <c r="P175" s="44">
        <f t="shared" si="62"/>
        <v>0</v>
      </c>
      <c r="Q175" s="44">
        <f t="shared" si="62"/>
        <v>0</v>
      </c>
    </row>
    <row r="176" spans="2:17" x14ac:dyDescent="0.2">
      <c r="C176" s="37"/>
      <c r="D176" s="37" t="s">
        <v>132</v>
      </c>
      <c r="E176" s="37"/>
      <c r="H176" s="37">
        <f>H155-H175</f>
        <v>0</v>
      </c>
      <c r="I176" s="37">
        <f>I153-I175</f>
        <v>0</v>
      </c>
      <c r="J176" s="37"/>
      <c r="L176" s="37">
        <f t="shared" ref="L176:Q176" si="63">L153-L175</f>
        <v>9.9582248367369175E-6</v>
      </c>
      <c r="M176" s="37">
        <f t="shared" si="63"/>
        <v>1.9688059182954021E-8</v>
      </c>
      <c r="N176" s="37">
        <f t="shared" si="63"/>
        <v>2.2094383211879176E-8</v>
      </c>
      <c r="O176" s="37">
        <f t="shared" si="63"/>
        <v>0</v>
      </c>
      <c r="P176" s="37">
        <f t="shared" si="63"/>
        <v>0</v>
      </c>
      <c r="Q176" s="37">
        <f t="shared" si="63"/>
        <v>0</v>
      </c>
    </row>
    <row r="177" spans="1:18" x14ac:dyDescent="0.2"/>
    <row r="178" spans="1:18" x14ac:dyDescent="0.2">
      <c r="B178" s="41" t="s">
        <v>160</v>
      </c>
      <c r="C178" s="41" t="s">
        <v>160</v>
      </c>
      <c r="D178" s="41" t="s">
        <v>160</v>
      </c>
      <c r="E178" s="41" t="s">
        <v>160</v>
      </c>
      <c r="F178" s="41" t="s">
        <v>160</v>
      </c>
      <c r="G178" s="41" t="s">
        <v>160</v>
      </c>
      <c r="H178" s="41" t="s">
        <v>160</v>
      </c>
      <c r="I178" s="41" t="s">
        <v>160</v>
      </c>
      <c r="J178" s="41" t="s">
        <v>160</v>
      </c>
      <c r="K178" s="41" t="s">
        <v>160</v>
      </c>
      <c r="L178" s="41" t="s">
        <v>160</v>
      </c>
      <c r="M178" s="41" t="s">
        <v>160</v>
      </c>
      <c r="N178" s="41" t="s">
        <v>160</v>
      </c>
      <c r="O178" s="41" t="s">
        <v>160</v>
      </c>
      <c r="P178" s="41" t="s">
        <v>160</v>
      </c>
      <c r="Q178" s="41" t="s">
        <v>160</v>
      </c>
      <c r="R178" s="41" t="s">
        <v>160</v>
      </c>
    </row>
    <row r="179" spans="1:18" x14ac:dyDescent="0.2"/>
    <row r="180" spans="1:18" x14ac:dyDescent="0.2">
      <c r="A180" s="16" t="s">
        <v>160</v>
      </c>
      <c r="B180" s="16" t="str">
        <f>$B$1</f>
        <v>H:\Acctg\2008\MHSA\CostReport\07-08 Annual Report2.xls</v>
      </c>
    </row>
    <row r="181" spans="1:18" ht="15.75" x14ac:dyDescent="0.25">
      <c r="B181" s="33" t="str">
        <f>B145</f>
        <v>Worksheet</v>
      </c>
    </row>
    <row r="182" spans="1:18" x14ac:dyDescent="0.2"/>
    <row r="183" spans="1:18" ht="15.75" x14ac:dyDescent="0.25">
      <c r="C183" s="42" t="s">
        <v>136</v>
      </c>
      <c r="D183" s="43" t="s">
        <v>113</v>
      </c>
      <c r="E183" s="37"/>
      <c r="F183" s="31"/>
      <c r="H183" s="31" t="s">
        <v>124</v>
      </c>
      <c r="I183" s="31" t="s">
        <v>103</v>
      </c>
      <c r="J183" s="31" t="s">
        <v>137</v>
      </c>
      <c r="L183" s="31" t="s">
        <v>0</v>
      </c>
      <c r="M183" s="31" t="s">
        <v>110</v>
      </c>
      <c r="N183" s="31" t="s">
        <v>122</v>
      </c>
      <c r="O183" s="31" t="s">
        <v>196</v>
      </c>
      <c r="P183" s="31" t="s">
        <v>3</v>
      </c>
      <c r="Q183" s="31" t="s">
        <v>131</v>
      </c>
    </row>
    <row r="184" spans="1:18" x14ac:dyDescent="0.2">
      <c r="C184" s="37" t="s">
        <v>119</v>
      </c>
      <c r="D184" s="37" t="s">
        <v>107</v>
      </c>
      <c r="E184" s="37"/>
      <c r="H184" s="37">
        <v>0</v>
      </c>
      <c r="I184" s="40">
        <f>I13</f>
        <v>0</v>
      </c>
      <c r="J184" s="37"/>
      <c r="M184" s="37"/>
      <c r="N184" s="37"/>
      <c r="Q184" s="37"/>
    </row>
    <row r="185" spans="1:18" x14ac:dyDescent="0.2">
      <c r="C185" s="37" t="s">
        <v>120</v>
      </c>
      <c r="D185" s="37" t="s">
        <v>121</v>
      </c>
      <c r="E185" s="37"/>
      <c r="H185" s="37">
        <v>0</v>
      </c>
      <c r="I185" s="40">
        <f>J13</f>
        <v>0</v>
      </c>
      <c r="J185" s="37">
        <f>I184+I185+0.00001</f>
        <v>1.0000000000000001E-5</v>
      </c>
      <c r="L185" s="40">
        <f t="shared" ref="L185:Q185" si="64">L13</f>
        <v>0</v>
      </c>
      <c r="M185" s="40">
        <f t="shared" si="64"/>
        <v>0</v>
      </c>
      <c r="N185" s="40">
        <f t="shared" si="64"/>
        <v>0</v>
      </c>
      <c r="O185" s="40">
        <f t="shared" si="64"/>
        <v>0</v>
      </c>
      <c r="P185" s="40">
        <f t="shared" si="64"/>
        <v>0</v>
      </c>
      <c r="Q185" s="40">
        <f t="shared" si="64"/>
        <v>0</v>
      </c>
    </row>
    <row r="186" spans="1:18" x14ac:dyDescent="0.2">
      <c r="C186" s="37" t="s">
        <v>140</v>
      </c>
      <c r="D186" s="37" t="s">
        <v>108</v>
      </c>
      <c r="E186" s="37"/>
      <c r="H186" s="37">
        <v>0</v>
      </c>
      <c r="I186" s="40">
        <f>I14</f>
        <v>0</v>
      </c>
      <c r="J186" s="37"/>
      <c r="L186" s="37"/>
      <c r="M186" s="37"/>
      <c r="N186" s="37"/>
      <c r="O186" s="37"/>
      <c r="P186" s="37"/>
      <c r="Q186" s="37"/>
    </row>
    <row r="187" spans="1:18" x14ac:dyDescent="0.2">
      <c r="C187" s="37" t="s">
        <v>141</v>
      </c>
      <c r="D187" s="37" t="s">
        <v>109</v>
      </c>
      <c r="E187" s="37"/>
      <c r="H187" s="37">
        <v>175748</v>
      </c>
      <c r="I187" s="40">
        <f>J14</f>
        <v>103781</v>
      </c>
      <c r="J187" s="37">
        <f>I186+I187+0.00001</f>
        <v>103781.00001</v>
      </c>
      <c r="L187" s="40">
        <f t="shared" ref="L187:Q187" si="65">L14</f>
        <v>95203</v>
      </c>
      <c r="M187" s="40">
        <f t="shared" si="65"/>
        <v>4063</v>
      </c>
      <c r="N187" s="40">
        <f t="shared" si="65"/>
        <v>4515</v>
      </c>
      <c r="O187" s="40">
        <f t="shared" si="65"/>
        <v>0</v>
      </c>
      <c r="P187" s="40">
        <f t="shared" si="65"/>
        <v>0</v>
      </c>
      <c r="Q187" s="40">
        <f t="shared" si="65"/>
        <v>0</v>
      </c>
    </row>
    <row r="188" spans="1:18" x14ac:dyDescent="0.2">
      <c r="C188" s="37"/>
      <c r="D188" s="37"/>
      <c r="E188" s="37"/>
      <c r="H188" s="37"/>
      <c r="I188" s="37"/>
      <c r="J188" s="37"/>
      <c r="L188" s="37"/>
      <c r="M188" s="37"/>
      <c r="N188" s="37"/>
      <c r="O188" s="37"/>
      <c r="P188" s="37"/>
      <c r="Q188" s="37"/>
    </row>
    <row r="189" spans="1:18" x14ac:dyDescent="0.2">
      <c r="C189" s="37"/>
      <c r="D189" s="37" t="s">
        <v>106</v>
      </c>
      <c r="E189" s="37"/>
      <c r="H189" s="44">
        <f>SUM(H184:H187)</f>
        <v>175748</v>
      </c>
      <c r="I189" s="44">
        <f>SUM(I184:I187)</f>
        <v>103781</v>
      </c>
      <c r="J189" s="44">
        <f>SUM(J184:J187)</f>
        <v>103781.00002000001</v>
      </c>
      <c r="L189" s="44">
        <f t="shared" ref="L189:Q189" si="66">SUM(L185:L187)</f>
        <v>95203</v>
      </c>
      <c r="M189" s="44">
        <f t="shared" si="66"/>
        <v>4063</v>
      </c>
      <c r="N189" s="44">
        <f t="shared" si="66"/>
        <v>4515</v>
      </c>
      <c r="O189" s="44">
        <f t="shared" si="66"/>
        <v>0</v>
      </c>
      <c r="P189" s="44">
        <f t="shared" si="66"/>
        <v>0</v>
      </c>
      <c r="Q189" s="44">
        <f t="shared" si="66"/>
        <v>0</v>
      </c>
    </row>
    <row r="190" spans="1:18" x14ac:dyDescent="0.2">
      <c r="C190" s="37"/>
      <c r="D190" s="37" t="s">
        <v>123</v>
      </c>
      <c r="E190" s="37"/>
      <c r="H190" s="37">
        <v>125748</v>
      </c>
      <c r="I190" s="37">
        <f>SUM(L189:Q189)</f>
        <v>103781</v>
      </c>
      <c r="J190" s="37">
        <f>H190-I190</f>
        <v>21967</v>
      </c>
      <c r="M190" s="37"/>
      <c r="N190" s="37"/>
      <c r="Q190" s="37"/>
    </row>
    <row r="191" spans="1:18" x14ac:dyDescent="0.2">
      <c r="C191" s="37"/>
      <c r="D191" s="37" t="s">
        <v>128</v>
      </c>
      <c r="E191" s="37"/>
      <c r="H191" s="44">
        <f>H189-H190</f>
        <v>50000</v>
      </c>
      <c r="I191" s="44">
        <f>I189-I190</f>
        <v>0</v>
      </c>
      <c r="J191" s="45"/>
      <c r="M191" s="37"/>
      <c r="N191" s="37"/>
      <c r="Q191" s="37"/>
    </row>
    <row r="192" spans="1:18" x14ac:dyDescent="0.2">
      <c r="C192" s="37"/>
      <c r="D192" s="37"/>
      <c r="E192" s="37"/>
      <c r="H192" s="37"/>
      <c r="I192" s="37"/>
      <c r="J192" s="37"/>
      <c r="M192" s="37"/>
      <c r="N192" s="37"/>
      <c r="Q192" s="37"/>
    </row>
    <row r="193" spans="2:17" ht="15.75" x14ac:dyDescent="0.25">
      <c r="C193" s="43" t="s">
        <v>125</v>
      </c>
      <c r="D193" s="43" t="s">
        <v>129</v>
      </c>
      <c r="E193" s="37"/>
      <c r="H193" s="37">
        <v>0</v>
      </c>
      <c r="I193" s="37"/>
      <c r="J193" s="37"/>
      <c r="L193" s="31" t="s">
        <v>0</v>
      </c>
      <c r="M193" s="31" t="s">
        <v>110</v>
      </c>
      <c r="N193" s="31" t="s">
        <v>122</v>
      </c>
      <c r="O193" s="31" t="s">
        <v>196</v>
      </c>
      <c r="P193" s="31" t="s">
        <v>3</v>
      </c>
      <c r="Q193" s="31" t="s">
        <v>131</v>
      </c>
    </row>
    <row r="194" spans="2:17" x14ac:dyDescent="0.2">
      <c r="B194" s="37" t="str">
        <f>$C$193&amp;C194</f>
        <v>FCP</v>
      </c>
      <c r="C194" s="37" t="s">
        <v>119</v>
      </c>
      <c r="D194" s="37" t="s">
        <v>107</v>
      </c>
      <c r="E194" s="37"/>
      <c r="H194" s="37"/>
      <c r="I194" s="37">
        <f>H193/H211*I184</f>
        <v>0</v>
      </c>
      <c r="J194" s="40" t="str">
        <f ca="1">"Row "&amp;CELL("row",M185)</f>
        <v>Row 185</v>
      </c>
      <c r="L194" s="40">
        <f t="shared" ref="L194:Q195" si="67">$I194/$J$185*L$185</f>
        <v>0</v>
      </c>
      <c r="M194" s="40">
        <f t="shared" si="67"/>
        <v>0</v>
      </c>
      <c r="N194" s="40">
        <f t="shared" si="67"/>
        <v>0</v>
      </c>
      <c r="O194" s="40">
        <f t="shared" si="67"/>
        <v>0</v>
      </c>
      <c r="P194" s="40">
        <f t="shared" si="67"/>
        <v>0</v>
      </c>
      <c r="Q194" s="40">
        <f t="shared" si="67"/>
        <v>0</v>
      </c>
    </row>
    <row r="195" spans="2:17" x14ac:dyDescent="0.2">
      <c r="B195" s="37" t="str">
        <f>$C$193&amp;C195</f>
        <v>FCO</v>
      </c>
      <c r="C195" s="37" t="s">
        <v>120</v>
      </c>
      <c r="D195" s="37" t="s">
        <v>121</v>
      </c>
      <c r="E195" s="37"/>
      <c r="H195" s="37"/>
      <c r="I195" s="37">
        <f>H193/H211*I185</f>
        <v>0</v>
      </c>
      <c r="J195" s="37"/>
      <c r="L195" s="40">
        <f t="shared" si="67"/>
        <v>0</v>
      </c>
      <c r="M195" s="40">
        <f t="shared" si="67"/>
        <v>0</v>
      </c>
      <c r="N195" s="40">
        <f t="shared" si="67"/>
        <v>0</v>
      </c>
      <c r="O195" s="40">
        <f t="shared" si="67"/>
        <v>0</v>
      </c>
      <c r="P195" s="40">
        <f t="shared" si="67"/>
        <v>0</v>
      </c>
      <c r="Q195" s="40">
        <f t="shared" si="67"/>
        <v>0</v>
      </c>
    </row>
    <row r="196" spans="2:17" x14ac:dyDescent="0.2">
      <c r="B196" s="37" t="str">
        <f>$C$193&amp;C196</f>
        <v>FKP</v>
      </c>
      <c r="C196" s="37" t="s">
        <v>140</v>
      </c>
      <c r="D196" s="37" t="s">
        <v>108</v>
      </c>
      <c r="E196" s="37"/>
      <c r="H196" s="37"/>
      <c r="I196" s="37">
        <f>H193/H211*I186</f>
        <v>0</v>
      </c>
      <c r="J196" s="37" t="str">
        <f ca="1">"Row "&amp;CELL("row",M187)</f>
        <v>Row 187</v>
      </c>
      <c r="L196" s="37">
        <f t="shared" ref="L196:Q197" si="68">$I196/$J$187*L$187</f>
        <v>0</v>
      </c>
      <c r="M196" s="37">
        <f t="shared" si="68"/>
        <v>0</v>
      </c>
      <c r="N196" s="37">
        <f t="shared" si="68"/>
        <v>0</v>
      </c>
      <c r="O196" s="37">
        <f t="shared" si="68"/>
        <v>0</v>
      </c>
      <c r="P196" s="37">
        <f t="shared" si="68"/>
        <v>0</v>
      </c>
      <c r="Q196" s="37">
        <f t="shared" si="68"/>
        <v>0</v>
      </c>
    </row>
    <row r="197" spans="2:17" x14ac:dyDescent="0.2">
      <c r="B197" s="37" t="str">
        <f>$C$193&amp;C197</f>
        <v>FKO</v>
      </c>
      <c r="C197" s="37" t="s">
        <v>141</v>
      </c>
      <c r="D197" s="37" t="s">
        <v>109</v>
      </c>
      <c r="E197" s="37"/>
      <c r="H197" s="37"/>
      <c r="I197" s="37">
        <f>H193/H211*I187</f>
        <v>0</v>
      </c>
      <c r="J197" s="37"/>
      <c r="L197" s="37">
        <f t="shared" si="68"/>
        <v>0</v>
      </c>
      <c r="M197" s="37">
        <f t="shared" si="68"/>
        <v>0</v>
      </c>
      <c r="N197" s="37">
        <f t="shared" si="68"/>
        <v>0</v>
      </c>
      <c r="O197" s="37">
        <f t="shared" si="68"/>
        <v>0</v>
      </c>
      <c r="P197" s="37">
        <f t="shared" si="68"/>
        <v>0</v>
      </c>
      <c r="Q197" s="37">
        <f t="shared" si="68"/>
        <v>0</v>
      </c>
    </row>
    <row r="198" spans="2:17" x14ac:dyDescent="0.2">
      <c r="C198" s="37"/>
      <c r="D198" s="37"/>
      <c r="E198" s="37"/>
      <c r="H198" s="37"/>
      <c r="I198" s="37"/>
      <c r="J198" s="37"/>
      <c r="L198" s="37"/>
      <c r="M198" s="37"/>
      <c r="N198" s="37"/>
      <c r="O198" s="37"/>
      <c r="P198" s="37"/>
      <c r="Q198" s="37"/>
    </row>
    <row r="199" spans="2:17" ht="15.75" x14ac:dyDescent="0.25">
      <c r="C199" s="43" t="s">
        <v>126</v>
      </c>
      <c r="D199" s="43" t="s">
        <v>130</v>
      </c>
      <c r="E199" s="37"/>
      <c r="H199" s="37">
        <v>25000</v>
      </c>
      <c r="I199" s="37"/>
      <c r="J199" s="37"/>
      <c r="L199" s="37"/>
      <c r="M199" s="37"/>
      <c r="N199" s="37"/>
      <c r="O199" s="37"/>
      <c r="P199" s="37"/>
      <c r="Q199" s="37"/>
    </row>
    <row r="200" spans="2:17" x14ac:dyDescent="0.2">
      <c r="B200" s="37" t="str">
        <f>$C$199&amp;C200</f>
        <v>SCP</v>
      </c>
      <c r="C200" s="37" t="s">
        <v>119</v>
      </c>
      <c r="D200" s="37" t="s">
        <v>107</v>
      </c>
      <c r="E200" s="37"/>
      <c r="H200" s="37"/>
      <c r="I200" s="37">
        <f>H199/H211*I184</f>
        <v>0</v>
      </c>
      <c r="J200" s="37"/>
      <c r="L200" s="40">
        <f t="shared" ref="L200:Q201" si="69">$I200/$J$185*L$185</f>
        <v>0</v>
      </c>
      <c r="M200" s="40">
        <f t="shared" si="69"/>
        <v>0</v>
      </c>
      <c r="N200" s="40">
        <f t="shared" si="69"/>
        <v>0</v>
      </c>
      <c r="O200" s="40">
        <f t="shared" si="69"/>
        <v>0</v>
      </c>
      <c r="P200" s="40">
        <f t="shared" si="69"/>
        <v>0</v>
      </c>
      <c r="Q200" s="40">
        <f t="shared" si="69"/>
        <v>0</v>
      </c>
    </row>
    <row r="201" spans="2:17" x14ac:dyDescent="0.2">
      <c r="B201" s="37" t="str">
        <f>$C$199&amp;C201</f>
        <v>SCO</v>
      </c>
      <c r="C201" s="37" t="s">
        <v>120</v>
      </c>
      <c r="D201" s="37" t="s">
        <v>121</v>
      </c>
      <c r="E201" s="37"/>
      <c r="H201" s="37"/>
      <c r="I201" s="37">
        <f>H199/H211*I185</f>
        <v>0</v>
      </c>
      <c r="J201" s="37"/>
      <c r="L201" s="40">
        <f t="shared" si="69"/>
        <v>0</v>
      </c>
      <c r="M201" s="40">
        <f t="shared" si="69"/>
        <v>0</v>
      </c>
      <c r="N201" s="40">
        <f t="shared" si="69"/>
        <v>0</v>
      </c>
      <c r="O201" s="40">
        <f t="shared" si="69"/>
        <v>0</v>
      </c>
      <c r="P201" s="40">
        <f t="shared" si="69"/>
        <v>0</v>
      </c>
      <c r="Q201" s="40">
        <f t="shared" si="69"/>
        <v>0</v>
      </c>
    </row>
    <row r="202" spans="2:17" x14ac:dyDescent="0.2">
      <c r="B202" s="37" t="str">
        <f>$C$199&amp;C202</f>
        <v>SKP</v>
      </c>
      <c r="C202" s="37" t="s">
        <v>140</v>
      </c>
      <c r="D202" s="37" t="s">
        <v>108</v>
      </c>
      <c r="E202" s="37"/>
      <c r="H202" s="37"/>
      <c r="I202" s="37">
        <f>H199/H211*I186</f>
        <v>0</v>
      </c>
      <c r="J202" s="37"/>
      <c r="L202" s="37">
        <f t="shared" ref="L202:Q203" si="70">$I202/$J$187*L$187</f>
        <v>0</v>
      </c>
      <c r="M202" s="37">
        <f t="shared" si="70"/>
        <v>0</v>
      </c>
      <c r="N202" s="37">
        <f t="shared" si="70"/>
        <v>0</v>
      </c>
      <c r="O202" s="37">
        <f t="shared" si="70"/>
        <v>0</v>
      </c>
      <c r="P202" s="37">
        <f t="shared" si="70"/>
        <v>0</v>
      </c>
      <c r="Q202" s="37">
        <f t="shared" si="70"/>
        <v>0</v>
      </c>
    </row>
    <row r="203" spans="2:17" x14ac:dyDescent="0.2">
      <c r="B203" s="37" t="str">
        <f>$C$199&amp;C203</f>
        <v>SKO</v>
      </c>
      <c r="C203" s="37" t="s">
        <v>141</v>
      </c>
      <c r="D203" s="37" t="s">
        <v>109</v>
      </c>
      <c r="E203" s="37"/>
      <c r="H203" s="37"/>
      <c r="I203" s="37">
        <f>H199/H211*I187</f>
        <v>51890.5</v>
      </c>
      <c r="J203" s="37"/>
      <c r="L203" s="37">
        <f t="shared" si="70"/>
        <v>47601.499995413273</v>
      </c>
      <c r="M203" s="37">
        <f t="shared" si="70"/>
        <v>2031.499999804251</v>
      </c>
      <c r="N203" s="37">
        <f t="shared" si="70"/>
        <v>2257.4999997824743</v>
      </c>
      <c r="O203" s="37">
        <f t="shared" si="70"/>
        <v>0</v>
      </c>
      <c r="P203" s="37">
        <f t="shared" si="70"/>
        <v>0</v>
      </c>
      <c r="Q203" s="37">
        <f t="shared" si="70"/>
        <v>0</v>
      </c>
    </row>
    <row r="204" spans="2:17" x14ac:dyDescent="0.2">
      <c r="C204" s="37"/>
      <c r="D204" s="37"/>
      <c r="E204" s="37"/>
      <c r="H204" s="37"/>
      <c r="I204" s="37"/>
      <c r="J204" s="37"/>
      <c r="L204" s="37"/>
      <c r="M204" s="37"/>
      <c r="N204" s="37"/>
      <c r="O204" s="37"/>
      <c r="P204" s="37"/>
      <c r="Q204" s="37"/>
    </row>
    <row r="205" spans="2:17" ht="15.75" x14ac:dyDescent="0.25">
      <c r="C205" s="43" t="s">
        <v>127</v>
      </c>
      <c r="D205" s="43" t="s">
        <v>159</v>
      </c>
      <c r="E205" s="37"/>
      <c r="H205" s="37">
        <f>H191-H193-H199</f>
        <v>25000</v>
      </c>
      <c r="I205" s="37"/>
      <c r="J205" s="37"/>
      <c r="L205" s="37"/>
      <c r="M205" s="37"/>
      <c r="N205" s="37"/>
      <c r="O205" s="37"/>
      <c r="P205" s="37"/>
      <c r="Q205" s="37"/>
    </row>
    <row r="206" spans="2:17" x14ac:dyDescent="0.2">
      <c r="B206" s="37" t="str">
        <f>$C$205&amp;C206</f>
        <v>OCP</v>
      </c>
      <c r="C206" s="37" t="s">
        <v>119</v>
      </c>
      <c r="D206" s="37" t="s">
        <v>107</v>
      </c>
      <c r="E206" s="37"/>
      <c r="H206" s="37"/>
      <c r="I206" s="37">
        <f>I184-I194-I200</f>
        <v>0</v>
      </c>
      <c r="J206" s="37"/>
      <c r="L206" s="40">
        <f t="shared" ref="L206:Q207" si="71">$I206/$J$185*L$185</f>
        <v>0</v>
      </c>
      <c r="M206" s="40">
        <f t="shared" si="71"/>
        <v>0</v>
      </c>
      <c r="N206" s="40">
        <f t="shared" si="71"/>
        <v>0</v>
      </c>
      <c r="O206" s="40">
        <f t="shared" si="71"/>
        <v>0</v>
      </c>
      <c r="P206" s="40">
        <f t="shared" si="71"/>
        <v>0</v>
      </c>
      <c r="Q206" s="40">
        <f t="shared" si="71"/>
        <v>0</v>
      </c>
    </row>
    <row r="207" spans="2:17" x14ac:dyDescent="0.2">
      <c r="B207" s="37" t="str">
        <f>$C$205&amp;C207</f>
        <v>OCO</v>
      </c>
      <c r="C207" s="37" t="s">
        <v>120</v>
      </c>
      <c r="D207" s="37" t="s">
        <v>121</v>
      </c>
      <c r="E207" s="37"/>
      <c r="H207" s="37"/>
      <c r="I207" s="37">
        <f>I185-I195-I201</f>
        <v>0</v>
      </c>
      <c r="J207" s="37"/>
      <c r="L207" s="40">
        <f t="shared" si="71"/>
        <v>0</v>
      </c>
      <c r="M207" s="40">
        <f t="shared" si="71"/>
        <v>0</v>
      </c>
      <c r="N207" s="40">
        <f t="shared" si="71"/>
        <v>0</v>
      </c>
      <c r="O207" s="40">
        <f t="shared" si="71"/>
        <v>0</v>
      </c>
      <c r="P207" s="40">
        <f t="shared" si="71"/>
        <v>0</v>
      </c>
      <c r="Q207" s="40">
        <f t="shared" si="71"/>
        <v>0</v>
      </c>
    </row>
    <row r="208" spans="2:17" x14ac:dyDescent="0.2">
      <c r="B208" s="37" t="str">
        <f>$C$205&amp;C208</f>
        <v>OKP</v>
      </c>
      <c r="C208" s="37" t="s">
        <v>140</v>
      </c>
      <c r="D208" s="37" t="s">
        <v>108</v>
      </c>
      <c r="E208" s="37"/>
      <c r="H208" s="37"/>
      <c r="I208" s="37">
        <f>I186-I196-I202</f>
        <v>0</v>
      </c>
      <c r="J208" s="37"/>
      <c r="L208" s="37">
        <f t="shared" ref="L208:Q209" si="72">$I208/$J$187*L$187</f>
        <v>0</v>
      </c>
      <c r="M208" s="37">
        <f t="shared" si="72"/>
        <v>0</v>
      </c>
      <c r="N208" s="37">
        <f t="shared" si="72"/>
        <v>0</v>
      </c>
      <c r="O208" s="37">
        <f t="shared" si="72"/>
        <v>0</v>
      </c>
      <c r="P208" s="37">
        <f t="shared" si="72"/>
        <v>0</v>
      </c>
      <c r="Q208" s="37">
        <f t="shared" si="72"/>
        <v>0</v>
      </c>
    </row>
    <row r="209" spans="1:18" x14ac:dyDescent="0.2">
      <c r="B209" s="37" t="str">
        <f>$C$205&amp;C209</f>
        <v>OKO</v>
      </c>
      <c r="C209" s="37" t="s">
        <v>141</v>
      </c>
      <c r="D209" s="37" t="s">
        <v>109</v>
      </c>
      <c r="E209" s="37"/>
      <c r="H209" s="37"/>
      <c r="I209" s="37">
        <f>I187-I197-I203</f>
        <v>51890.5</v>
      </c>
      <c r="J209" s="37"/>
      <c r="L209" s="37">
        <f t="shared" si="72"/>
        <v>47601.499995413273</v>
      </c>
      <c r="M209" s="37">
        <f t="shared" si="72"/>
        <v>2031.499999804251</v>
      </c>
      <c r="N209" s="37">
        <f t="shared" si="72"/>
        <v>2257.4999997824743</v>
      </c>
      <c r="O209" s="37">
        <f t="shared" si="72"/>
        <v>0</v>
      </c>
      <c r="P209" s="37">
        <f t="shared" si="72"/>
        <v>0</v>
      </c>
      <c r="Q209" s="37">
        <f t="shared" si="72"/>
        <v>0</v>
      </c>
    </row>
    <row r="210" spans="1:18" x14ac:dyDescent="0.2">
      <c r="C210" s="37"/>
      <c r="D210" s="37"/>
      <c r="E210" s="37"/>
      <c r="H210" s="37"/>
      <c r="I210" s="37"/>
      <c r="J210" s="37"/>
      <c r="L210" s="37"/>
      <c r="M210" s="37"/>
      <c r="N210" s="37"/>
      <c r="O210" s="37"/>
      <c r="P210" s="37"/>
      <c r="Q210" s="37"/>
    </row>
    <row r="211" spans="1:18" x14ac:dyDescent="0.2">
      <c r="C211" s="37"/>
      <c r="D211" s="37" t="s">
        <v>106</v>
      </c>
      <c r="E211" s="37"/>
      <c r="H211" s="44">
        <f>SUM(H193:H210)</f>
        <v>50000</v>
      </c>
      <c r="I211" s="44">
        <f>SUM(I193:I210)</f>
        <v>103781</v>
      </c>
      <c r="J211" s="44"/>
      <c r="L211" s="44">
        <f t="shared" ref="L211:Q211" si="73">SUM(L193:L210)</f>
        <v>95202.999990826545</v>
      </c>
      <c r="M211" s="44">
        <f t="shared" si="73"/>
        <v>4062.9999996085021</v>
      </c>
      <c r="N211" s="44">
        <f t="shared" si="73"/>
        <v>4514.9999995649487</v>
      </c>
      <c r="O211" s="44">
        <f t="shared" si="73"/>
        <v>0</v>
      </c>
      <c r="P211" s="44">
        <f t="shared" si="73"/>
        <v>0</v>
      </c>
      <c r="Q211" s="44">
        <f t="shared" si="73"/>
        <v>0</v>
      </c>
    </row>
    <row r="212" spans="1:18" x14ac:dyDescent="0.2">
      <c r="C212" s="37"/>
      <c r="D212" s="37" t="s">
        <v>132</v>
      </c>
      <c r="E212" s="37"/>
      <c r="H212" s="37">
        <f>H191-H211</f>
        <v>0</v>
      </c>
      <c r="I212" s="37">
        <f>I189-I211</f>
        <v>0</v>
      </c>
      <c r="J212" s="37"/>
      <c r="L212" s="37">
        <f t="shared" ref="L212:Q212" si="74">L189-L211</f>
        <v>9.1734546003863215E-6</v>
      </c>
      <c r="M212" s="37">
        <f t="shared" si="74"/>
        <v>3.9149790609371848E-7</v>
      </c>
      <c r="N212" s="37">
        <f t="shared" si="74"/>
        <v>4.3505133362486959E-7</v>
      </c>
      <c r="O212" s="37">
        <f t="shared" si="74"/>
        <v>0</v>
      </c>
      <c r="P212" s="37">
        <f t="shared" si="74"/>
        <v>0</v>
      </c>
      <c r="Q212" s="37">
        <f t="shared" si="74"/>
        <v>0</v>
      </c>
    </row>
    <row r="213" spans="1:18" x14ac:dyDescent="0.2"/>
    <row r="214" spans="1:18" x14ac:dyDescent="0.2">
      <c r="B214" s="41" t="s">
        <v>160</v>
      </c>
      <c r="C214" s="41" t="s">
        <v>160</v>
      </c>
      <c r="D214" s="41" t="s">
        <v>160</v>
      </c>
      <c r="E214" s="41" t="s">
        <v>160</v>
      </c>
      <c r="F214" s="41" t="s">
        <v>160</v>
      </c>
      <c r="G214" s="41" t="s">
        <v>160</v>
      </c>
      <c r="H214" s="41" t="s">
        <v>160</v>
      </c>
      <c r="I214" s="41" t="s">
        <v>160</v>
      </c>
      <c r="J214" s="41" t="s">
        <v>160</v>
      </c>
      <c r="K214" s="41" t="s">
        <v>160</v>
      </c>
      <c r="L214" s="41" t="s">
        <v>160</v>
      </c>
      <c r="M214" s="41" t="s">
        <v>160</v>
      </c>
      <c r="N214" s="41" t="s">
        <v>160</v>
      </c>
      <c r="O214" s="41" t="s">
        <v>160</v>
      </c>
      <c r="P214" s="41" t="s">
        <v>160</v>
      </c>
      <c r="Q214" s="41" t="s">
        <v>160</v>
      </c>
      <c r="R214" s="41" t="s">
        <v>160</v>
      </c>
    </row>
    <row r="215" spans="1:18" x14ac:dyDescent="0.2"/>
    <row r="216" spans="1:18" x14ac:dyDescent="0.2">
      <c r="A216" s="16" t="s">
        <v>160</v>
      </c>
      <c r="B216" s="16" t="str">
        <f>$B$1</f>
        <v>H:\Acctg\2008\MHSA\CostReport\07-08 Annual Report2.xls</v>
      </c>
    </row>
    <row r="217" spans="1:18" ht="15.75" x14ac:dyDescent="0.25">
      <c r="B217" s="33" t="str">
        <f>B181</f>
        <v>Worksheet</v>
      </c>
    </row>
    <row r="218" spans="1:18" x14ac:dyDescent="0.2"/>
    <row r="219" spans="1:18" ht="15.75" x14ac:dyDescent="0.25">
      <c r="C219" s="42" t="s">
        <v>155</v>
      </c>
      <c r="D219" s="43" t="s">
        <v>114</v>
      </c>
      <c r="E219" s="37"/>
      <c r="F219" s="31"/>
      <c r="H219" s="31" t="s">
        <v>124</v>
      </c>
      <c r="I219" s="31" t="s">
        <v>103</v>
      </c>
      <c r="J219" s="31" t="s">
        <v>137</v>
      </c>
      <c r="L219" s="31" t="s">
        <v>0</v>
      </c>
      <c r="M219" s="31" t="s">
        <v>110</v>
      </c>
      <c r="N219" s="31" t="s">
        <v>122</v>
      </c>
      <c r="O219" s="31" t="s">
        <v>196</v>
      </c>
      <c r="P219" s="31" t="s">
        <v>3</v>
      </c>
      <c r="Q219" s="31" t="s">
        <v>131</v>
      </c>
    </row>
    <row r="220" spans="1:18" x14ac:dyDescent="0.2">
      <c r="C220" s="37" t="s">
        <v>119</v>
      </c>
      <c r="D220" s="37" t="s">
        <v>107</v>
      </c>
      <c r="E220" s="37"/>
      <c r="H220" s="37">
        <v>0</v>
      </c>
      <c r="I220" s="40">
        <f>I15</f>
        <v>0</v>
      </c>
      <c r="J220" s="37"/>
      <c r="M220" s="37"/>
      <c r="N220" s="37"/>
      <c r="Q220" s="37"/>
    </row>
    <row r="221" spans="1:18" x14ac:dyDescent="0.2">
      <c r="C221" s="37" t="s">
        <v>120</v>
      </c>
      <c r="D221" s="37" t="s">
        <v>121</v>
      </c>
      <c r="E221" s="37"/>
      <c r="H221" s="37">
        <v>2000</v>
      </c>
      <c r="I221" s="40">
        <f>J15</f>
        <v>0</v>
      </c>
      <c r="J221" s="37">
        <f>I220+I221+0.00001</f>
        <v>1.0000000000000001E-5</v>
      </c>
      <c r="L221" s="40">
        <f t="shared" ref="L221:Q221" si="75">L15</f>
        <v>0</v>
      </c>
      <c r="M221" s="40">
        <f t="shared" si="75"/>
        <v>0</v>
      </c>
      <c r="N221" s="40">
        <f t="shared" si="75"/>
        <v>0</v>
      </c>
      <c r="O221" s="40">
        <f t="shared" si="75"/>
        <v>0</v>
      </c>
      <c r="P221" s="40">
        <f t="shared" si="75"/>
        <v>0</v>
      </c>
      <c r="Q221" s="40">
        <f t="shared" si="75"/>
        <v>0</v>
      </c>
    </row>
    <row r="222" spans="1:18" x14ac:dyDescent="0.2">
      <c r="C222" s="37" t="s">
        <v>140</v>
      </c>
      <c r="D222" s="37" t="s">
        <v>108</v>
      </c>
      <c r="E222" s="37"/>
      <c r="H222" s="37">
        <v>475000</v>
      </c>
      <c r="I222" s="40">
        <f>I16</f>
        <v>0</v>
      </c>
      <c r="J222" s="37"/>
      <c r="L222" s="37"/>
      <c r="M222" s="37"/>
      <c r="N222" s="37"/>
      <c r="O222" s="37"/>
      <c r="P222" s="37"/>
      <c r="Q222" s="37"/>
    </row>
    <row r="223" spans="1:18" x14ac:dyDescent="0.2">
      <c r="C223" s="37" t="s">
        <v>141</v>
      </c>
      <c r="D223" s="37" t="s">
        <v>109</v>
      </c>
      <c r="E223" s="37"/>
      <c r="H223" s="37">
        <v>197000</v>
      </c>
      <c r="I223" s="40">
        <f>J16</f>
        <v>870883</v>
      </c>
      <c r="J223" s="37">
        <f>I222+I223+0.00001</f>
        <v>870883.00000999996</v>
      </c>
      <c r="L223" s="40">
        <f t="shared" ref="L223:Q223" si="76">L16</f>
        <v>548396</v>
      </c>
      <c r="M223" s="40">
        <f t="shared" si="76"/>
        <v>0</v>
      </c>
      <c r="N223" s="40">
        <f t="shared" si="76"/>
        <v>322487</v>
      </c>
      <c r="O223" s="40">
        <f t="shared" si="76"/>
        <v>0</v>
      </c>
      <c r="P223" s="40">
        <f t="shared" si="76"/>
        <v>0</v>
      </c>
      <c r="Q223" s="40">
        <f t="shared" si="76"/>
        <v>0</v>
      </c>
    </row>
    <row r="224" spans="1:18" x14ac:dyDescent="0.2">
      <c r="C224" s="37"/>
      <c r="D224" s="37"/>
      <c r="E224" s="37"/>
      <c r="H224" s="37"/>
      <c r="I224" s="37"/>
      <c r="J224" s="37"/>
      <c r="L224" s="37"/>
      <c r="M224" s="37"/>
      <c r="N224" s="37"/>
      <c r="O224" s="37"/>
      <c r="P224" s="37"/>
      <c r="Q224" s="37"/>
    </row>
    <row r="225" spans="2:17" x14ac:dyDescent="0.2">
      <c r="C225" s="37"/>
      <c r="D225" s="37" t="s">
        <v>106</v>
      </c>
      <c r="E225" s="37"/>
      <c r="H225" s="44">
        <f>SUM(H220:H223)</f>
        <v>674000</v>
      </c>
      <c r="I225" s="44">
        <f>SUM(I220:I223)</f>
        <v>870883</v>
      </c>
      <c r="J225" s="44">
        <f>SUM(J220:J223)</f>
        <v>870883.00001999992</v>
      </c>
      <c r="L225" s="44">
        <f t="shared" ref="L225:Q225" si="77">SUM(L221:L223)</f>
        <v>548396</v>
      </c>
      <c r="M225" s="44">
        <f t="shared" si="77"/>
        <v>0</v>
      </c>
      <c r="N225" s="44">
        <f t="shared" si="77"/>
        <v>322487</v>
      </c>
      <c r="O225" s="44">
        <f t="shared" si="77"/>
        <v>0</v>
      </c>
      <c r="P225" s="44">
        <f t="shared" si="77"/>
        <v>0</v>
      </c>
      <c r="Q225" s="44">
        <f t="shared" si="77"/>
        <v>0</v>
      </c>
    </row>
    <row r="226" spans="2:17" x14ac:dyDescent="0.2">
      <c r="C226" s="37"/>
      <c r="D226" s="37" t="s">
        <v>123</v>
      </c>
      <c r="E226" s="37"/>
      <c r="H226" s="37">
        <v>304110</v>
      </c>
      <c r="I226" s="37">
        <f>SUM(L225:Q225)</f>
        <v>870883</v>
      </c>
      <c r="J226" s="37">
        <f>H226-I226</f>
        <v>-566773</v>
      </c>
      <c r="M226" s="37"/>
      <c r="N226" s="37"/>
      <c r="Q226" s="37"/>
    </row>
    <row r="227" spans="2:17" x14ac:dyDescent="0.2">
      <c r="C227" s="37"/>
      <c r="D227" s="37" t="s">
        <v>128</v>
      </c>
      <c r="E227" s="37"/>
      <c r="H227" s="44">
        <f>H225-H226</f>
        <v>369890</v>
      </c>
      <c r="I227" s="44">
        <f>I225-I226</f>
        <v>0</v>
      </c>
      <c r="J227" s="45"/>
      <c r="M227" s="37"/>
      <c r="N227" s="37"/>
      <c r="Q227" s="37"/>
    </row>
    <row r="228" spans="2:17" x14ac:dyDescent="0.2">
      <c r="C228" s="37"/>
      <c r="D228" s="37"/>
      <c r="E228" s="37"/>
      <c r="H228" s="37"/>
      <c r="I228" s="37"/>
      <c r="J228" s="37"/>
      <c r="M228" s="37"/>
      <c r="N228" s="37"/>
      <c r="Q228" s="37"/>
    </row>
    <row r="229" spans="2:17" ht="15.75" x14ac:dyDescent="0.25">
      <c r="C229" s="43" t="s">
        <v>125</v>
      </c>
      <c r="D229" s="43" t="s">
        <v>129</v>
      </c>
      <c r="E229" s="37"/>
      <c r="H229" s="37">
        <v>129462</v>
      </c>
      <c r="I229" s="37"/>
      <c r="J229" s="37"/>
      <c r="L229" s="31" t="s">
        <v>0</v>
      </c>
      <c r="M229" s="31" t="s">
        <v>110</v>
      </c>
      <c r="N229" s="31" t="s">
        <v>122</v>
      </c>
      <c r="O229" s="31" t="s">
        <v>196</v>
      </c>
      <c r="P229" s="31" t="s">
        <v>3</v>
      </c>
      <c r="Q229" s="31" t="s">
        <v>131</v>
      </c>
    </row>
    <row r="230" spans="2:17" x14ac:dyDescent="0.2">
      <c r="B230" s="37" t="str">
        <f>$C$229&amp;C230</f>
        <v>FCP</v>
      </c>
      <c r="C230" s="37" t="s">
        <v>119</v>
      </c>
      <c r="D230" s="37" t="s">
        <v>107</v>
      </c>
      <c r="E230" s="37"/>
      <c r="H230" s="37"/>
      <c r="I230" s="37">
        <f>H229/H247*I220</f>
        <v>0</v>
      </c>
      <c r="J230" s="40" t="str">
        <f ca="1">"Row "&amp;CELL("row",M221)</f>
        <v>Row 221</v>
      </c>
      <c r="L230" s="40">
        <f t="shared" ref="L230:Q231" si="78">$I230/$J$221*L$221</f>
        <v>0</v>
      </c>
      <c r="M230" s="40">
        <f t="shared" si="78"/>
        <v>0</v>
      </c>
      <c r="N230" s="40">
        <f t="shared" si="78"/>
        <v>0</v>
      </c>
      <c r="O230" s="40">
        <f t="shared" si="78"/>
        <v>0</v>
      </c>
      <c r="P230" s="40">
        <f t="shared" si="78"/>
        <v>0</v>
      </c>
      <c r="Q230" s="40">
        <f t="shared" si="78"/>
        <v>0</v>
      </c>
    </row>
    <row r="231" spans="2:17" x14ac:dyDescent="0.2">
      <c r="B231" s="37" t="str">
        <f>$C$229&amp;C231</f>
        <v>FCO</v>
      </c>
      <c r="C231" s="37" t="s">
        <v>120</v>
      </c>
      <c r="D231" s="37" t="s">
        <v>121</v>
      </c>
      <c r="E231" s="37"/>
      <c r="H231" s="37"/>
      <c r="I231" s="37">
        <f>H229/H247*I221</f>
        <v>0</v>
      </c>
      <c r="J231" s="37"/>
      <c r="L231" s="40">
        <f t="shared" si="78"/>
        <v>0</v>
      </c>
      <c r="M231" s="40">
        <f t="shared" si="78"/>
        <v>0</v>
      </c>
      <c r="N231" s="40">
        <f t="shared" si="78"/>
        <v>0</v>
      </c>
      <c r="O231" s="40">
        <f t="shared" si="78"/>
        <v>0</v>
      </c>
      <c r="P231" s="40">
        <f t="shared" si="78"/>
        <v>0</v>
      </c>
      <c r="Q231" s="40">
        <f t="shared" si="78"/>
        <v>0</v>
      </c>
    </row>
    <row r="232" spans="2:17" x14ac:dyDescent="0.2">
      <c r="B232" s="37" t="str">
        <f>$C$229&amp;C232</f>
        <v>FKP</v>
      </c>
      <c r="C232" s="37" t="s">
        <v>140</v>
      </c>
      <c r="D232" s="37" t="s">
        <v>108</v>
      </c>
      <c r="E232" s="37"/>
      <c r="H232" s="37"/>
      <c r="I232" s="37">
        <f>H229/H247*I222</f>
        <v>0</v>
      </c>
      <c r="J232" s="37" t="str">
        <f ca="1">"Row "&amp;CELL("row",M223)</f>
        <v>Row 223</v>
      </c>
      <c r="L232" s="37">
        <f t="shared" ref="L232:Q233" si="79">$I232/$J$223*L$223</f>
        <v>0</v>
      </c>
      <c r="M232" s="37">
        <f t="shared" si="79"/>
        <v>0</v>
      </c>
      <c r="N232" s="37">
        <f t="shared" si="79"/>
        <v>0</v>
      </c>
      <c r="O232" s="37">
        <f t="shared" si="79"/>
        <v>0</v>
      </c>
      <c r="P232" s="37">
        <f t="shared" si="79"/>
        <v>0</v>
      </c>
      <c r="Q232" s="37">
        <f t="shared" si="79"/>
        <v>0</v>
      </c>
    </row>
    <row r="233" spans="2:17" x14ac:dyDescent="0.2">
      <c r="B233" s="37" t="str">
        <f>$C$229&amp;C233</f>
        <v>FKO</v>
      </c>
      <c r="C233" s="37" t="s">
        <v>141</v>
      </c>
      <c r="D233" s="37" t="s">
        <v>109</v>
      </c>
      <c r="E233" s="37"/>
      <c r="H233" s="37"/>
      <c r="I233" s="37">
        <f>H229/H247*I223</f>
        <v>304810.2272189029</v>
      </c>
      <c r="J233" s="37"/>
      <c r="L233" s="37">
        <f t="shared" si="79"/>
        <v>191939.34129385703</v>
      </c>
      <c r="M233" s="37">
        <f t="shared" si="79"/>
        <v>0</v>
      </c>
      <c r="N233" s="37">
        <f t="shared" si="79"/>
        <v>112870.88592154587</v>
      </c>
      <c r="O233" s="37">
        <f t="shared" si="79"/>
        <v>0</v>
      </c>
      <c r="P233" s="37">
        <f t="shared" si="79"/>
        <v>0</v>
      </c>
      <c r="Q233" s="37">
        <f t="shared" si="79"/>
        <v>0</v>
      </c>
    </row>
    <row r="234" spans="2:17" x14ac:dyDescent="0.2">
      <c r="C234" s="37"/>
      <c r="D234" s="37"/>
      <c r="E234" s="37"/>
      <c r="H234" s="37"/>
      <c r="I234" s="37"/>
      <c r="J234" s="37"/>
      <c r="L234" s="37"/>
      <c r="M234" s="37"/>
      <c r="N234" s="37"/>
      <c r="O234" s="37"/>
      <c r="P234" s="37"/>
      <c r="Q234" s="37"/>
    </row>
    <row r="235" spans="2:17" ht="15.75" x14ac:dyDescent="0.25">
      <c r="C235" s="43" t="s">
        <v>126</v>
      </c>
      <c r="D235" s="43" t="s">
        <v>130</v>
      </c>
      <c r="E235" s="37"/>
      <c r="H235" s="37">
        <v>240428</v>
      </c>
      <c r="I235" s="37"/>
      <c r="J235" s="37"/>
      <c r="L235" s="37"/>
      <c r="M235" s="37"/>
      <c r="N235" s="37"/>
      <c r="O235" s="37"/>
      <c r="P235" s="37"/>
      <c r="Q235" s="37"/>
    </row>
    <row r="236" spans="2:17" x14ac:dyDescent="0.2">
      <c r="B236" s="37" t="str">
        <f>$C$235&amp;C236</f>
        <v>SCP</v>
      </c>
      <c r="C236" s="37" t="s">
        <v>119</v>
      </c>
      <c r="D236" s="37" t="s">
        <v>107</v>
      </c>
      <c r="E236" s="37"/>
      <c r="H236" s="37"/>
      <c r="I236" s="37">
        <f>H235/H247*I220</f>
        <v>0</v>
      </c>
      <c r="J236" s="37"/>
      <c r="L236" s="40">
        <f t="shared" ref="L236:Q237" si="80">$I236/$J$221*L$221</f>
        <v>0</v>
      </c>
      <c r="M236" s="40">
        <f t="shared" si="80"/>
        <v>0</v>
      </c>
      <c r="N236" s="40">
        <f t="shared" si="80"/>
        <v>0</v>
      </c>
      <c r="O236" s="40">
        <f t="shared" si="80"/>
        <v>0</v>
      </c>
      <c r="P236" s="40">
        <f t="shared" si="80"/>
        <v>0</v>
      </c>
      <c r="Q236" s="40">
        <f t="shared" si="80"/>
        <v>0</v>
      </c>
    </row>
    <row r="237" spans="2:17" x14ac:dyDescent="0.2">
      <c r="B237" s="37" t="str">
        <f>$C$235&amp;C237</f>
        <v>SCO</v>
      </c>
      <c r="C237" s="37" t="s">
        <v>120</v>
      </c>
      <c r="D237" s="37" t="s">
        <v>121</v>
      </c>
      <c r="E237" s="37"/>
      <c r="H237" s="37"/>
      <c r="I237" s="37">
        <f>H235/H247*I221</f>
        <v>0</v>
      </c>
      <c r="J237" s="37"/>
      <c r="L237" s="40">
        <f t="shared" si="80"/>
        <v>0</v>
      </c>
      <c r="M237" s="40">
        <f t="shared" si="80"/>
        <v>0</v>
      </c>
      <c r="N237" s="40">
        <f t="shared" si="80"/>
        <v>0</v>
      </c>
      <c r="O237" s="40">
        <f t="shared" si="80"/>
        <v>0</v>
      </c>
      <c r="P237" s="40">
        <f t="shared" si="80"/>
        <v>0</v>
      </c>
      <c r="Q237" s="40">
        <f t="shared" si="80"/>
        <v>0</v>
      </c>
    </row>
    <row r="238" spans="2:17" x14ac:dyDescent="0.2">
      <c r="B238" s="37" t="str">
        <f>$C$235&amp;C238</f>
        <v>SKP</v>
      </c>
      <c r="C238" s="37" t="s">
        <v>140</v>
      </c>
      <c r="D238" s="37" t="s">
        <v>108</v>
      </c>
      <c r="E238" s="37"/>
      <c r="H238" s="37"/>
      <c r="I238" s="37">
        <f>H235/H247*I222</f>
        <v>0</v>
      </c>
      <c r="J238" s="37"/>
      <c r="L238" s="37">
        <f t="shared" ref="L238:Q239" si="81">$I238/$J$223*L$223</f>
        <v>0</v>
      </c>
      <c r="M238" s="37">
        <f t="shared" si="81"/>
        <v>0</v>
      </c>
      <c r="N238" s="37">
        <f t="shared" si="81"/>
        <v>0</v>
      </c>
      <c r="O238" s="37">
        <f t="shared" si="81"/>
        <v>0</v>
      </c>
      <c r="P238" s="37">
        <f t="shared" si="81"/>
        <v>0</v>
      </c>
      <c r="Q238" s="37">
        <f t="shared" si="81"/>
        <v>0</v>
      </c>
    </row>
    <row r="239" spans="2:17" x14ac:dyDescent="0.2">
      <c r="B239" s="37" t="str">
        <f>$C$235&amp;C239</f>
        <v>SKO</v>
      </c>
      <c r="C239" s="37" t="s">
        <v>141</v>
      </c>
      <c r="D239" s="37" t="s">
        <v>109</v>
      </c>
      <c r="E239" s="37"/>
      <c r="H239" s="37"/>
      <c r="I239" s="37">
        <f>H235/H247*I223</f>
        <v>566072.7727810971</v>
      </c>
      <c r="J239" s="37"/>
      <c r="L239" s="37">
        <f t="shared" si="81"/>
        <v>356456.65869984595</v>
      </c>
      <c r="M239" s="37">
        <f t="shared" si="81"/>
        <v>0</v>
      </c>
      <c r="N239" s="37">
        <f t="shared" si="81"/>
        <v>209616.11407475115</v>
      </c>
      <c r="O239" s="37">
        <f t="shared" si="81"/>
        <v>0</v>
      </c>
      <c r="P239" s="37">
        <f t="shared" si="81"/>
        <v>0</v>
      </c>
      <c r="Q239" s="37">
        <f t="shared" si="81"/>
        <v>0</v>
      </c>
    </row>
    <row r="240" spans="2:17" x14ac:dyDescent="0.2">
      <c r="C240" s="37"/>
      <c r="D240" s="37"/>
      <c r="E240" s="37"/>
      <c r="H240" s="37"/>
      <c r="I240" s="37"/>
      <c r="J240" s="37"/>
      <c r="L240" s="37"/>
      <c r="M240" s="37"/>
      <c r="N240" s="37"/>
      <c r="O240" s="37"/>
      <c r="P240" s="37"/>
      <c r="Q240" s="37"/>
    </row>
    <row r="241" spans="1:18" ht="15.75" x14ac:dyDescent="0.25">
      <c r="C241" s="43" t="s">
        <v>127</v>
      </c>
      <c r="D241" s="43" t="s">
        <v>159</v>
      </c>
      <c r="E241" s="37"/>
      <c r="H241" s="37">
        <f>H227-H229-H235</f>
        <v>0</v>
      </c>
      <c r="I241" s="37"/>
      <c r="J241" s="37"/>
      <c r="L241" s="37"/>
      <c r="M241" s="37"/>
      <c r="N241" s="37"/>
      <c r="O241" s="37"/>
      <c r="P241" s="37"/>
      <c r="Q241" s="37"/>
    </row>
    <row r="242" spans="1:18" x14ac:dyDescent="0.2">
      <c r="B242" s="37" t="str">
        <f>$C$241&amp;C242</f>
        <v>OCP</v>
      </c>
      <c r="C242" s="37" t="s">
        <v>119</v>
      </c>
      <c r="D242" s="37" t="s">
        <v>107</v>
      </c>
      <c r="E242" s="37"/>
      <c r="H242" s="37"/>
      <c r="I242" s="37">
        <f>I220-I230-I236</f>
        <v>0</v>
      </c>
      <c r="J242" s="37"/>
      <c r="L242" s="40">
        <f t="shared" ref="L242:Q243" si="82">$I242/$J$221*L$221</f>
        <v>0</v>
      </c>
      <c r="M242" s="40">
        <f t="shared" si="82"/>
        <v>0</v>
      </c>
      <c r="N242" s="40">
        <f t="shared" si="82"/>
        <v>0</v>
      </c>
      <c r="O242" s="40">
        <f t="shared" si="82"/>
        <v>0</v>
      </c>
      <c r="P242" s="40">
        <f t="shared" si="82"/>
        <v>0</v>
      </c>
      <c r="Q242" s="40">
        <f t="shared" si="82"/>
        <v>0</v>
      </c>
    </row>
    <row r="243" spans="1:18" x14ac:dyDescent="0.2">
      <c r="B243" s="37" t="str">
        <f>$C$241&amp;C243</f>
        <v>OCO</v>
      </c>
      <c r="C243" s="37" t="s">
        <v>120</v>
      </c>
      <c r="D243" s="37" t="s">
        <v>121</v>
      </c>
      <c r="E243" s="37"/>
      <c r="H243" s="37"/>
      <c r="I243" s="37">
        <f>I221-I231-I237</f>
        <v>0</v>
      </c>
      <c r="J243" s="37"/>
      <c r="L243" s="40">
        <f t="shared" si="82"/>
        <v>0</v>
      </c>
      <c r="M243" s="40">
        <f t="shared" si="82"/>
        <v>0</v>
      </c>
      <c r="N243" s="40">
        <f t="shared" si="82"/>
        <v>0</v>
      </c>
      <c r="O243" s="40">
        <f t="shared" si="82"/>
        <v>0</v>
      </c>
      <c r="P243" s="40">
        <f t="shared" si="82"/>
        <v>0</v>
      </c>
      <c r="Q243" s="40">
        <f t="shared" si="82"/>
        <v>0</v>
      </c>
    </row>
    <row r="244" spans="1:18" x14ac:dyDescent="0.2">
      <c r="B244" s="37" t="str">
        <f>$C$241&amp;C244</f>
        <v>OKP</v>
      </c>
      <c r="C244" s="37" t="s">
        <v>140</v>
      </c>
      <c r="D244" s="37" t="s">
        <v>108</v>
      </c>
      <c r="E244" s="37"/>
      <c r="H244" s="37"/>
      <c r="I244" s="37">
        <f>I222-I232-I238</f>
        <v>0</v>
      </c>
      <c r="J244" s="37"/>
      <c r="L244" s="37">
        <f t="shared" ref="L244:Q245" si="83">$I244/$J$223*L$223</f>
        <v>0</v>
      </c>
      <c r="M244" s="37">
        <f t="shared" si="83"/>
        <v>0</v>
      </c>
      <c r="N244" s="37">
        <f t="shared" si="83"/>
        <v>0</v>
      </c>
      <c r="O244" s="37">
        <f t="shared" si="83"/>
        <v>0</v>
      </c>
      <c r="P244" s="37">
        <f t="shared" si="83"/>
        <v>0</v>
      </c>
      <c r="Q244" s="37">
        <f t="shared" si="83"/>
        <v>0</v>
      </c>
    </row>
    <row r="245" spans="1:18" x14ac:dyDescent="0.2">
      <c r="B245" s="37" t="str">
        <f>$C$241&amp;C245</f>
        <v>OKO</v>
      </c>
      <c r="C245" s="37" t="s">
        <v>141</v>
      </c>
      <c r="D245" s="37" t="s">
        <v>109</v>
      </c>
      <c r="E245" s="37"/>
      <c r="H245" s="37"/>
      <c r="I245" s="37">
        <f>I223-I233-I239</f>
        <v>0</v>
      </c>
      <c r="J245" s="37"/>
      <c r="L245" s="37">
        <f t="shared" si="83"/>
        <v>0</v>
      </c>
      <c r="M245" s="37">
        <f t="shared" si="83"/>
        <v>0</v>
      </c>
      <c r="N245" s="37">
        <f t="shared" si="83"/>
        <v>0</v>
      </c>
      <c r="O245" s="37">
        <f t="shared" si="83"/>
        <v>0</v>
      </c>
      <c r="P245" s="37">
        <f t="shared" si="83"/>
        <v>0</v>
      </c>
      <c r="Q245" s="37">
        <f t="shared" si="83"/>
        <v>0</v>
      </c>
    </row>
    <row r="246" spans="1:18" x14ac:dyDescent="0.2">
      <c r="C246" s="37"/>
      <c r="D246" s="37"/>
      <c r="E246" s="37"/>
      <c r="H246" s="37"/>
      <c r="I246" s="37"/>
      <c r="J246" s="37"/>
      <c r="L246" s="37"/>
      <c r="M246" s="37"/>
      <c r="N246" s="37"/>
      <c r="O246" s="37"/>
      <c r="P246" s="37"/>
      <c r="Q246" s="37"/>
    </row>
    <row r="247" spans="1:18" x14ac:dyDescent="0.2">
      <c r="C247" s="37"/>
      <c r="D247" s="37" t="s">
        <v>106</v>
      </c>
      <c r="E247" s="37"/>
      <c r="H247" s="44">
        <f>SUM(H229:H246)</f>
        <v>369890</v>
      </c>
      <c r="I247" s="44">
        <f>SUM(I229:I246)</f>
        <v>870883</v>
      </c>
      <c r="J247" s="44"/>
      <c r="L247" s="44">
        <f t="shared" ref="L247:Q247" si="84">SUM(L229:L246)</f>
        <v>548395.99999370298</v>
      </c>
      <c r="M247" s="44">
        <f t="shared" si="84"/>
        <v>0</v>
      </c>
      <c r="N247" s="44">
        <f t="shared" si="84"/>
        <v>322486.999996297</v>
      </c>
      <c r="O247" s="44">
        <f t="shared" si="84"/>
        <v>0</v>
      </c>
      <c r="P247" s="44">
        <f t="shared" si="84"/>
        <v>0</v>
      </c>
      <c r="Q247" s="44">
        <f t="shared" si="84"/>
        <v>0</v>
      </c>
    </row>
    <row r="248" spans="1:18" x14ac:dyDescent="0.2">
      <c r="C248" s="37"/>
      <c r="D248" s="37" t="s">
        <v>132</v>
      </c>
      <c r="E248" s="37"/>
      <c r="H248" s="37">
        <f>H227-H247</f>
        <v>0</v>
      </c>
      <c r="I248" s="37">
        <f>I225-I247</f>
        <v>0</v>
      </c>
      <c r="J248" s="37"/>
      <c r="L248" s="37">
        <f t="shared" ref="L248:Q248" si="85">L225-L247</f>
        <v>6.297021172940731E-6</v>
      </c>
      <c r="M248" s="37">
        <f t="shared" si="85"/>
        <v>0</v>
      </c>
      <c r="N248" s="37">
        <f t="shared" si="85"/>
        <v>3.702996764332056E-6</v>
      </c>
      <c r="O248" s="37">
        <f t="shared" si="85"/>
        <v>0</v>
      </c>
      <c r="P248" s="37">
        <f t="shared" si="85"/>
        <v>0</v>
      </c>
      <c r="Q248" s="37">
        <f t="shared" si="85"/>
        <v>0</v>
      </c>
    </row>
    <row r="249" spans="1:18" x14ac:dyDescent="0.2"/>
    <row r="250" spans="1:18" x14ac:dyDescent="0.2">
      <c r="B250" s="41" t="s">
        <v>160</v>
      </c>
      <c r="C250" s="41" t="s">
        <v>160</v>
      </c>
      <c r="D250" s="41" t="s">
        <v>160</v>
      </c>
      <c r="E250" s="41" t="s">
        <v>160</v>
      </c>
      <c r="F250" s="41" t="s">
        <v>160</v>
      </c>
      <c r="G250" s="41" t="s">
        <v>160</v>
      </c>
      <c r="H250" s="41" t="s">
        <v>160</v>
      </c>
      <c r="I250" s="41" t="s">
        <v>160</v>
      </c>
      <c r="J250" s="41" t="s">
        <v>160</v>
      </c>
      <c r="K250" s="41" t="s">
        <v>160</v>
      </c>
      <c r="L250" s="41" t="s">
        <v>160</v>
      </c>
      <c r="M250" s="41" t="s">
        <v>160</v>
      </c>
      <c r="N250" s="41" t="s">
        <v>160</v>
      </c>
      <c r="O250" s="41" t="s">
        <v>160</v>
      </c>
      <c r="P250" s="41"/>
      <c r="Q250" s="41" t="s">
        <v>160</v>
      </c>
      <c r="R250" s="41" t="s">
        <v>160</v>
      </c>
    </row>
    <row r="251" spans="1:18" x14ac:dyDescent="0.2"/>
    <row r="252" spans="1:18" x14ac:dyDescent="0.2">
      <c r="A252" s="16" t="s">
        <v>160</v>
      </c>
      <c r="B252" s="16" t="str">
        <f>$B$1</f>
        <v>H:\Acctg\2008\MHSA\CostReport\07-08 Annual Report2.xls</v>
      </c>
    </row>
    <row r="253" spans="1:18" ht="15.75" x14ac:dyDescent="0.25">
      <c r="B253" s="33" t="str">
        <f>B217</f>
        <v>Worksheet</v>
      </c>
    </row>
    <row r="254" spans="1:18" x14ac:dyDescent="0.2"/>
    <row r="255" spans="1:18" ht="15.75" x14ac:dyDescent="0.25">
      <c r="C255" s="42" t="s">
        <v>156</v>
      </c>
      <c r="D255" s="43" t="s">
        <v>115</v>
      </c>
      <c r="E255" s="37"/>
      <c r="F255" s="31"/>
      <c r="H255" s="31" t="s">
        <v>124</v>
      </c>
      <c r="I255" s="31" t="s">
        <v>103</v>
      </c>
      <c r="J255" s="31" t="s">
        <v>137</v>
      </c>
      <c r="L255" s="31" t="s">
        <v>0</v>
      </c>
      <c r="M255" s="31" t="s">
        <v>110</v>
      </c>
      <c r="N255" s="31" t="s">
        <v>122</v>
      </c>
      <c r="O255" s="31" t="s">
        <v>196</v>
      </c>
      <c r="P255" s="31" t="s">
        <v>3</v>
      </c>
      <c r="Q255" s="31" t="s">
        <v>131</v>
      </c>
    </row>
    <row r="256" spans="1:18" x14ac:dyDescent="0.2">
      <c r="C256" s="37" t="s">
        <v>119</v>
      </c>
      <c r="D256" s="37" t="s">
        <v>107</v>
      </c>
      <c r="E256" s="37"/>
      <c r="H256" s="37">
        <v>0</v>
      </c>
      <c r="I256" s="40">
        <f>I17</f>
        <v>0</v>
      </c>
      <c r="J256" s="37"/>
      <c r="M256" s="37"/>
      <c r="N256" s="37"/>
      <c r="Q256" s="37"/>
    </row>
    <row r="257" spans="2:17" x14ac:dyDescent="0.2">
      <c r="C257" s="37" t="s">
        <v>120</v>
      </c>
      <c r="D257" s="37" t="s">
        <v>121</v>
      </c>
      <c r="E257" s="37"/>
      <c r="H257" s="37">
        <v>0</v>
      </c>
      <c r="I257" s="40">
        <f>J17</f>
        <v>0</v>
      </c>
      <c r="J257" s="37">
        <f>I256+I257+0.00001</f>
        <v>1.0000000000000001E-5</v>
      </c>
      <c r="L257" s="40">
        <f t="shared" ref="L257:Q257" si="86">L17</f>
        <v>0</v>
      </c>
      <c r="M257" s="40">
        <f t="shared" si="86"/>
        <v>0</v>
      </c>
      <c r="N257" s="40">
        <f t="shared" si="86"/>
        <v>0</v>
      </c>
      <c r="O257" s="40">
        <f t="shared" si="86"/>
        <v>0</v>
      </c>
      <c r="P257" s="40">
        <f t="shared" si="86"/>
        <v>0</v>
      </c>
      <c r="Q257" s="40">
        <f t="shared" si="86"/>
        <v>0</v>
      </c>
    </row>
    <row r="258" spans="2:17" x14ac:dyDescent="0.2">
      <c r="C258" s="37" t="s">
        <v>140</v>
      </c>
      <c r="D258" s="37" t="s">
        <v>108</v>
      </c>
      <c r="E258" s="37"/>
      <c r="H258" s="37">
        <v>0</v>
      </c>
      <c r="I258" s="40">
        <f>I18</f>
        <v>0</v>
      </c>
      <c r="J258" s="37"/>
      <c r="L258" s="37"/>
      <c r="M258" s="37"/>
      <c r="N258" s="37"/>
      <c r="O258" s="37"/>
      <c r="P258" s="37"/>
      <c r="Q258" s="37"/>
    </row>
    <row r="259" spans="2:17" x14ac:dyDescent="0.2">
      <c r="C259" s="37" t="s">
        <v>141</v>
      </c>
      <c r="D259" s="37" t="s">
        <v>109</v>
      </c>
      <c r="E259" s="37"/>
      <c r="H259" s="37">
        <f>30000+273000</f>
        <v>303000</v>
      </c>
      <c r="I259" s="40">
        <f>J18</f>
        <v>551938</v>
      </c>
      <c r="J259" s="37">
        <f>I258+I259+0.00001</f>
        <v>551938.00000999996</v>
      </c>
      <c r="L259" s="40">
        <f t="shared" ref="L259:Q259" si="87">L18</f>
        <v>489561</v>
      </c>
      <c r="M259" s="40">
        <f t="shared" si="87"/>
        <v>0</v>
      </c>
      <c r="N259" s="40">
        <f t="shared" si="87"/>
        <v>62377</v>
      </c>
      <c r="O259" s="40">
        <f t="shared" si="87"/>
        <v>0</v>
      </c>
      <c r="P259" s="40">
        <f t="shared" si="87"/>
        <v>0</v>
      </c>
      <c r="Q259" s="40">
        <f t="shared" si="87"/>
        <v>0</v>
      </c>
    </row>
    <row r="260" spans="2:17" x14ac:dyDescent="0.2">
      <c r="C260" s="37"/>
      <c r="D260" s="37"/>
      <c r="E260" s="37"/>
      <c r="H260" s="37"/>
      <c r="I260" s="37"/>
      <c r="J260" s="37"/>
      <c r="L260" s="37"/>
      <c r="M260" s="37"/>
      <c r="N260" s="37"/>
      <c r="O260" s="37"/>
      <c r="P260" s="37"/>
      <c r="Q260" s="37"/>
    </row>
    <row r="261" spans="2:17" x14ac:dyDescent="0.2">
      <c r="C261" s="37"/>
      <c r="D261" s="37" t="s">
        <v>106</v>
      </c>
      <c r="E261" s="37"/>
      <c r="H261" s="44">
        <f>SUM(H256:H259)</f>
        <v>303000</v>
      </c>
      <c r="I261" s="44">
        <f>SUM(I256:I259)</f>
        <v>551938</v>
      </c>
      <c r="J261" s="44">
        <f>SUM(J256:J259)</f>
        <v>551938.00001999992</v>
      </c>
      <c r="L261" s="44">
        <f t="shared" ref="L261:Q261" si="88">SUM(L257:L259)</f>
        <v>489561</v>
      </c>
      <c r="M261" s="44">
        <f t="shared" si="88"/>
        <v>0</v>
      </c>
      <c r="N261" s="44">
        <f t="shared" si="88"/>
        <v>62377</v>
      </c>
      <c r="O261" s="44">
        <f t="shared" si="88"/>
        <v>0</v>
      </c>
      <c r="P261" s="44">
        <f t="shared" si="88"/>
        <v>0</v>
      </c>
      <c r="Q261" s="44">
        <f t="shared" si="88"/>
        <v>0</v>
      </c>
    </row>
    <row r="262" spans="2:17" x14ac:dyDescent="0.2">
      <c r="C262" s="37"/>
      <c r="D262" s="37" t="s">
        <v>123</v>
      </c>
      <c r="E262" s="37"/>
      <c r="H262" s="37">
        <v>48000</v>
      </c>
      <c r="I262" s="37">
        <f>SUM(L261:Q261)</f>
        <v>551938</v>
      </c>
      <c r="J262" s="37">
        <f>H262-I262</f>
        <v>-503938</v>
      </c>
      <c r="M262" s="37"/>
      <c r="N262" s="37"/>
      <c r="Q262" s="37"/>
    </row>
    <row r="263" spans="2:17" x14ac:dyDescent="0.2">
      <c r="C263" s="37"/>
      <c r="D263" s="37" t="s">
        <v>128</v>
      </c>
      <c r="E263" s="37"/>
      <c r="H263" s="44">
        <f>H261-H262</f>
        <v>255000</v>
      </c>
      <c r="I263" s="44">
        <f>I261-I262</f>
        <v>0</v>
      </c>
      <c r="J263" s="45"/>
      <c r="M263" s="37"/>
      <c r="N263" s="37"/>
      <c r="Q263" s="37"/>
    </row>
    <row r="264" spans="2:17" x14ac:dyDescent="0.2">
      <c r="C264" s="37"/>
      <c r="D264" s="37"/>
      <c r="E264" s="37"/>
      <c r="H264" s="37"/>
      <c r="I264" s="37"/>
      <c r="J264" s="37"/>
      <c r="M264" s="37"/>
      <c r="N264" s="37"/>
      <c r="Q264" s="37"/>
    </row>
    <row r="265" spans="2:17" ht="15.75" x14ac:dyDescent="0.25">
      <c r="C265" s="43" t="s">
        <v>125</v>
      </c>
      <c r="D265" s="43" t="s">
        <v>129</v>
      </c>
      <c r="E265" s="37"/>
      <c r="H265" s="37">
        <v>63750</v>
      </c>
      <c r="I265" s="37"/>
      <c r="J265" s="37"/>
      <c r="L265" s="31" t="s">
        <v>0</v>
      </c>
      <c r="M265" s="31" t="s">
        <v>110</v>
      </c>
      <c r="N265" s="31" t="s">
        <v>122</v>
      </c>
      <c r="O265" s="31" t="s">
        <v>196</v>
      </c>
      <c r="P265" s="31" t="s">
        <v>3</v>
      </c>
      <c r="Q265" s="31" t="s">
        <v>131</v>
      </c>
    </row>
    <row r="266" spans="2:17" x14ac:dyDescent="0.2">
      <c r="B266" s="37" t="str">
        <f>$C$265&amp;C266</f>
        <v>FCP</v>
      </c>
      <c r="C266" s="37" t="s">
        <v>119</v>
      </c>
      <c r="D266" s="37" t="s">
        <v>107</v>
      </c>
      <c r="E266" s="37"/>
      <c r="H266" s="37"/>
      <c r="I266" s="37">
        <f>H265/H283*I256</f>
        <v>0</v>
      </c>
      <c r="J266" s="40" t="str">
        <f ca="1">"Row "&amp;CELL("row",M257)</f>
        <v>Row 257</v>
      </c>
      <c r="L266" s="40">
        <f t="shared" ref="L266:Q267" si="89">$I266/$J$257*L$257</f>
        <v>0</v>
      </c>
      <c r="M266" s="40">
        <f t="shared" si="89"/>
        <v>0</v>
      </c>
      <c r="N266" s="40">
        <f t="shared" si="89"/>
        <v>0</v>
      </c>
      <c r="O266" s="40">
        <f t="shared" si="89"/>
        <v>0</v>
      </c>
      <c r="P266" s="40">
        <f t="shared" si="89"/>
        <v>0</v>
      </c>
      <c r="Q266" s="40">
        <f t="shared" si="89"/>
        <v>0</v>
      </c>
    </row>
    <row r="267" spans="2:17" x14ac:dyDescent="0.2">
      <c r="B267" s="37" t="str">
        <f>$C$265&amp;C267</f>
        <v>FCO</v>
      </c>
      <c r="C267" s="37" t="s">
        <v>120</v>
      </c>
      <c r="D267" s="37" t="s">
        <v>121</v>
      </c>
      <c r="E267" s="37"/>
      <c r="H267" s="37"/>
      <c r="I267" s="37">
        <f>H265/H283*I257</f>
        <v>0</v>
      </c>
      <c r="J267" s="37"/>
      <c r="L267" s="40">
        <f t="shared" si="89"/>
        <v>0</v>
      </c>
      <c r="M267" s="40">
        <f t="shared" si="89"/>
        <v>0</v>
      </c>
      <c r="N267" s="40">
        <f t="shared" si="89"/>
        <v>0</v>
      </c>
      <c r="O267" s="40">
        <f t="shared" si="89"/>
        <v>0</v>
      </c>
      <c r="P267" s="40">
        <f t="shared" si="89"/>
        <v>0</v>
      </c>
      <c r="Q267" s="40">
        <f t="shared" si="89"/>
        <v>0</v>
      </c>
    </row>
    <row r="268" spans="2:17" x14ac:dyDescent="0.2">
      <c r="B268" s="37" t="str">
        <f>$C$265&amp;C268</f>
        <v>FKP</v>
      </c>
      <c r="C268" s="37" t="s">
        <v>140</v>
      </c>
      <c r="D268" s="37" t="s">
        <v>108</v>
      </c>
      <c r="E268" s="37"/>
      <c r="H268" s="37"/>
      <c r="I268" s="37">
        <f>H265/H283*I258</f>
        <v>0</v>
      </c>
      <c r="J268" s="37" t="str">
        <f ca="1">"Row "&amp;CELL("row",M259)</f>
        <v>Row 259</v>
      </c>
      <c r="L268" s="37">
        <f t="shared" ref="L268:Q269" si="90">$I268/$J$259*L$259</f>
        <v>0</v>
      </c>
      <c r="M268" s="37">
        <f t="shared" si="90"/>
        <v>0</v>
      </c>
      <c r="N268" s="37">
        <f t="shared" si="90"/>
        <v>0</v>
      </c>
      <c r="O268" s="37">
        <f t="shared" si="90"/>
        <v>0</v>
      </c>
      <c r="P268" s="37">
        <f t="shared" si="90"/>
        <v>0</v>
      </c>
      <c r="Q268" s="37">
        <f t="shared" si="90"/>
        <v>0</v>
      </c>
    </row>
    <row r="269" spans="2:17" x14ac:dyDescent="0.2">
      <c r="B269" s="37" t="str">
        <f>$C$265&amp;C269</f>
        <v>FKO</v>
      </c>
      <c r="C269" s="37" t="s">
        <v>141</v>
      </c>
      <c r="D269" s="37" t="s">
        <v>109</v>
      </c>
      <c r="E269" s="37"/>
      <c r="H269" s="37"/>
      <c r="I269" s="37">
        <f>H265/H283*I259</f>
        <v>137984.5</v>
      </c>
      <c r="J269" s="37"/>
      <c r="L269" s="37">
        <f t="shared" si="90"/>
        <v>122390.24999778254</v>
      </c>
      <c r="M269" s="37">
        <f t="shared" si="90"/>
        <v>0</v>
      </c>
      <c r="N269" s="37">
        <f t="shared" si="90"/>
        <v>15594.249999717464</v>
      </c>
      <c r="O269" s="37">
        <f t="shared" si="90"/>
        <v>0</v>
      </c>
      <c r="P269" s="37">
        <f t="shared" si="90"/>
        <v>0</v>
      </c>
      <c r="Q269" s="37">
        <f t="shared" si="90"/>
        <v>0</v>
      </c>
    </row>
    <row r="270" spans="2:17" x14ac:dyDescent="0.2">
      <c r="C270" s="37"/>
      <c r="D270" s="37"/>
      <c r="E270" s="37"/>
      <c r="H270" s="37"/>
      <c r="I270" s="37"/>
      <c r="J270" s="37"/>
      <c r="L270" s="37"/>
      <c r="M270" s="37"/>
      <c r="N270" s="37"/>
      <c r="O270" s="37"/>
      <c r="P270" s="37"/>
      <c r="Q270" s="37"/>
    </row>
    <row r="271" spans="2:17" ht="15.75" x14ac:dyDescent="0.25">
      <c r="C271" s="43" t="s">
        <v>126</v>
      </c>
      <c r="D271" s="43" t="s">
        <v>130</v>
      </c>
      <c r="E271" s="37"/>
      <c r="H271" s="37">
        <v>178500</v>
      </c>
      <c r="I271" s="37"/>
      <c r="J271" s="37"/>
      <c r="L271" s="37"/>
      <c r="M271" s="37"/>
      <c r="N271" s="37"/>
      <c r="O271" s="37"/>
      <c r="P271" s="37"/>
      <c r="Q271" s="37"/>
    </row>
    <row r="272" spans="2:17" x14ac:dyDescent="0.2">
      <c r="B272" s="37" t="str">
        <f>$C$271&amp;C272</f>
        <v>SCP</v>
      </c>
      <c r="C272" s="37" t="s">
        <v>119</v>
      </c>
      <c r="D272" s="37" t="s">
        <v>107</v>
      </c>
      <c r="E272" s="37"/>
      <c r="H272" s="37"/>
      <c r="I272" s="37">
        <f>H271/H283*I256</f>
        <v>0</v>
      </c>
      <c r="J272" s="37"/>
      <c r="L272" s="40">
        <f t="shared" ref="L272:Q273" si="91">$I272/$J$257*L$257</f>
        <v>0</v>
      </c>
      <c r="M272" s="40">
        <f t="shared" si="91"/>
        <v>0</v>
      </c>
      <c r="N272" s="40">
        <f t="shared" si="91"/>
        <v>0</v>
      </c>
      <c r="O272" s="40">
        <f t="shared" si="91"/>
        <v>0</v>
      </c>
      <c r="P272" s="40">
        <f t="shared" si="91"/>
        <v>0</v>
      </c>
      <c r="Q272" s="40">
        <f t="shared" si="91"/>
        <v>0</v>
      </c>
    </row>
    <row r="273" spans="1:18" x14ac:dyDescent="0.2">
      <c r="B273" s="37" t="str">
        <f>$C$271&amp;C273</f>
        <v>SCO</v>
      </c>
      <c r="C273" s="37" t="s">
        <v>120</v>
      </c>
      <c r="D273" s="37" t="s">
        <v>121</v>
      </c>
      <c r="E273" s="37"/>
      <c r="H273" s="37"/>
      <c r="I273" s="37">
        <f>H271/H283*I257</f>
        <v>0</v>
      </c>
      <c r="J273" s="37"/>
      <c r="L273" s="40">
        <f t="shared" si="91"/>
        <v>0</v>
      </c>
      <c r="M273" s="40">
        <f t="shared" si="91"/>
        <v>0</v>
      </c>
      <c r="N273" s="40">
        <f t="shared" si="91"/>
        <v>0</v>
      </c>
      <c r="O273" s="40">
        <f t="shared" si="91"/>
        <v>0</v>
      </c>
      <c r="P273" s="40">
        <f t="shared" si="91"/>
        <v>0</v>
      </c>
      <c r="Q273" s="40">
        <f t="shared" si="91"/>
        <v>0</v>
      </c>
    </row>
    <row r="274" spans="1:18" x14ac:dyDescent="0.2">
      <c r="B274" s="37" t="str">
        <f>$C$271&amp;C274</f>
        <v>SKP</v>
      </c>
      <c r="C274" s="37" t="s">
        <v>140</v>
      </c>
      <c r="D274" s="37" t="s">
        <v>108</v>
      </c>
      <c r="E274" s="37"/>
      <c r="H274" s="37"/>
      <c r="I274" s="37">
        <f>H271/H283*I258</f>
        <v>0</v>
      </c>
      <c r="J274" s="37"/>
      <c r="L274" s="37">
        <f t="shared" ref="L274:Q275" si="92">$I274/$J$259*L$259</f>
        <v>0</v>
      </c>
      <c r="M274" s="37">
        <f t="shared" si="92"/>
        <v>0</v>
      </c>
      <c r="N274" s="37">
        <f t="shared" si="92"/>
        <v>0</v>
      </c>
      <c r="O274" s="37">
        <f t="shared" si="92"/>
        <v>0</v>
      </c>
      <c r="P274" s="37">
        <f t="shared" si="92"/>
        <v>0</v>
      </c>
      <c r="Q274" s="37">
        <f t="shared" si="92"/>
        <v>0</v>
      </c>
    </row>
    <row r="275" spans="1:18" x14ac:dyDescent="0.2">
      <c r="B275" s="37" t="str">
        <f>$C$271&amp;C275</f>
        <v>SKO</v>
      </c>
      <c r="C275" s="37" t="s">
        <v>141</v>
      </c>
      <c r="D275" s="37" t="s">
        <v>109</v>
      </c>
      <c r="E275" s="37"/>
      <c r="H275" s="37"/>
      <c r="I275" s="37">
        <f>H271/H283*I259</f>
        <v>386356.6</v>
      </c>
      <c r="J275" s="37"/>
      <c r="L275" s="37">
        <f t="shared" si="92"/>
        <v>342692.69999379112</v>
      </c>
      <c r="M275" s="37">
        <f t="shared" si="92"/>
        <v>0</v>
      </c>
      <c r="N275" s="37">
        <f t="shared" si="92"/>
        <v>43663.899999208901</v>
      </c>
      <c r="O275" s="37">
        <f t="shared" si="92"/>
        <v>0</v>
      </c>
      <c r="P275" s="37">
        <f t="shared" si="92"/>
        <v>0</v>
      </c>
      <c r="Q275" s="37">
        <f t="shared" si="92"/>
        <v>0</v>
      </c>
    </row>
    <row r="276" spans="1:18" x14ac:dyDescent="0.2">
      <c r="C276" s="37"/>
      <c r="D276" s="37"/>
      <c r="E276" s="37"/>
      <c r="H276" s="37"/>
      <c r="I276" s="37"/>
      <c r="J276" s="37"/>
      <c r="L276" s="37"/>
      <c r="M276" s="37"/>
      <c r="N276" s="37"/>
      <c r="O276" s="37"/>
      <c r="P276" s="37"/>
      <c r="Q276" s="37"/>
    </row>
    <row r="277" spans="1:18" ht="15.75" x14ac:dyDescent="0.25">
      <c r="C277" s="43" t="s">
        <v>127</v>
      </c>
      <c r="D277" s="43" t="s">
        <v>159</v>
      </c>
      <c r="E277" s="37"/>
      <c r="H277" s="37">
        <f>H263-H265-H271</f>
        <v>12750</v>
      </c>
      <c r="I277" s="37"/>
      <c r="J277" s="37"/>
      <c r="L277" s="37"/>
      <c r="M277" s="37"/>
      <c r="N277" s="37"/>
      <c r="O277" s="37"/>
      <c r="P277" s="37"/>
      <c r="Q277" s="37"/>
    </row>
    <row r="278" spans="1:18" x14ac:dyDescent="0.2">
      <c r="B278" s="37" t="str">
        <f>$C$277&amp;C278</f>
        <v>OCP</v>
      </c>
      <c r="C278" s="37" t="s">
        <v>119</v>
      </c>
      <c r="D278" s="37" t="s">
        <v>107</v>
      </c>
      <c r="E278" s="37"/>
      <c r="H278" s="37"/>
      <c r="I278" s="37">
        <f>I256-I266-I272</f>
        <v>0</v>
      </c>
      <c r="J278" s="37"/>
      <c r="L278" s="40">
        <f t="shared" ref="L278:Q279" si="93">$I278/$J$257*L$257</f>
        <v>0</v>
      </c>
      <c r="M278" s="40">
        <f t="shared" si="93"/>
        <v>0</v>
      </c>
      <c r="N278" s="40">
        <f t="shared" si="93"/>
        <v>0</v>
      </c>
      <c r="O278" s="40">
        <f t="shared" si="93"/>
        <v>0</v>
      </c>
      <c r="P278" s="40">
        <f t="shared" si="93"/>
        <v>0</v>
      </c>
      <c r="Q278" s="40">
        <f t="shared" si="93"/>
        <v>0</v>
      </c>
    </row>
    <row r="279" spans="1:18" x14ac:dyDescent="0.2">
      <c r="B279" s="37" t="str">
        <f>$C$277&amp;C279</f>
        <v>OCO</v>
      </c>
      <c r="C279" s="37" t="s">
        <v>120</v>
      </c>
      <c r="D279" s="37" t="s">
        <v>121</v>
      </c>
      <c r="E279" s="37"/>
      <c r="H279" s="37"/>
      <c r="I279" s="37">
        <f>I257-I267-I273</f>
        <v>0</v>
      </c>
      <c r="J279" s="37"/>
      <c r="L279" s="40">
        <f t="shared" si="93"/>
        <v>0</v>
      </c>
      <c r="M279" s="40">
        <f t="shared" si="93"/>
        <v>0</v>
      </c>
      <c r="N279" s="40">
        <f t="shared" si="93"/>
        <v>0</v>
      </c>
      <c r="O279" s="40">
        <f t="shared" si="93"/>
        <v>0</v>
      </c>
      <c r="P279" s="40">
        <f t="shared" si="93"/>
        <v>0</v>
      </c>
      <c r="Q279" s="40">
        <f t="shared" si="93"/>
        <v>0</v>
      </c>
    </row>
    <row r="280" spans="1:18" x14ac:dyDescent="0.2">
      <c r="B280" s="37" t="str">
        <f>$C$277&amp;C280</f>
        <v>OKP</v>
      </c>
      <c r="C280" s="37" t="s">
        <v>140</v>
      </c>
      <c r="D280" s="37" t="s">
        <v>108</v>
      </c>
      <c r="E280" s="37"/>
      <c r="H280" s="37"/>
      <c r="I280" s="37">
        <f>I258-I268-I274</f>
        <v>0</v>
      </c>
      <c r="J280" s="37"/>
      <c r="L280" s="37">
        <f t="shared" ref="L280:Q281" si="94">$I280/$J$259*L$259</f>
        <v>0</v>
      </c>
      <c r="M280" s="37">
        <f t="shared" si="94"/>
        <v>0</v>
      </c>
      <c r="N280" s="37">
        <f t="shared" si="94"/>
        <v>0</v>
      </c>
      <c r="O280" s="37">
        <f t="shared" si="94"/>
        <v>0</v>
      </c>
      <c r="P280" s="37">
        <f t="shared" si="94"/>
        <v>0</v>
      </c>
      <c r="Q280" s="37">
        <f t="shared" si="94"/>
        <v>0</v>
      </c>
    </row>
    <row r="281" spans="1:18" x14ac:dyDescent="0.2">
      <c r="B281" s="37" t="str">
        <f>$C$277&amp;C281</f>
        <v>OKO</v>
      </c>
      <c r="C281" s="37" t="s">
        <v>141</v>
      </c>
      <c r="D281" s="37" t="s">
        <v>109</v>
      </c>
      <c r="E281" s="37"/>
      <c r="H281" s="37"/>
      <c r="I281" s="37">
        <f>I259-I269-I275</f>
        <v>27596.900000000023</v>
      </c>
      <c r="J281" s="37"/>
      <c r="L281" s="37">
        <f t="shared" si="94"/>
        <v>24478.04999955653</v>
      </c>
      <c r="M281" s="37">
        <f t="shared" si="94"/>
        <v>0</v>
      </c>
      <c r="N281" s="37">
        <f t="shared" si="94"/>
        <v>3118.8499999434953</v>
      </c>
      <c r="O281" s="37">
        <f t="shared" si="94"/>
        <v>0</v>
      </c>
      <c r="P281" s="37">
        <f t="shared" si="94"/>
        <v>0</v>
      </c>
      <c r="Q281" s="37">
        <f t="shared" si="94"/>
        <v>0</v>
      </c>
    </row>
    <row r="282" spans="1:18" x14ac:dyDescent="0.2">
      <c r="C282" s="37"/>
      <c r="D282" s="37"/>
      <c r="E282" s="37"/>
      <c r="H282" s="37"/>
      <c r="I282" s="37"/>
      <c r="J282" s="37"/>
      <c r="L282" s="37"/>
      <c r="M282" s="37"/>
      <c r="N282" s="37"/>
      <c r="O282" s="37"/>
      <c r="P282" s="37"/>
      <c r="Q282" s="37"/>
    </row>
    <row r="283" spans="1:18" x14ac:dyDescent="0.2">
      <c r="C283" s="37"/>
      <c r="D283" s="37" t="s">
        <v>106</v>
      </c>
      <c r="E283" s="37"/>
      <c r="H283" s="44">
        <f>SUM(H265:H282)</f>
        <v>255000</v>
      </c>
      <c r="I283" s="44">
        <f>SUM(I265:I282)</f>
        <v>551938</v>
      </c>
      <c r="J283" s="44"/>
      <c r="L283" s="44">
        <f t="shared" ref="L283:Q283" si="95">SUM(L265:L282)</f>
        <v>489560.99999113014</v>
      </c>
      <c r="M283" s="44">
        <f t="shared" si="95"/>
        <v>0</v>
      </c>
      <c r="N283" s="44">
        <f t="shared" si="95"/>
        <v>62376.999998869862</v>
      </c>
      <c r="O283" s="44">
        <f t="shared" si="95"/>
        <v>0</v>
      </c>
      <c r="P283" s="44">
        <f t="shared" si="95"/>
        <v>0</v>
      </c>
      <c r="Q283" s="44">
        <f t="shared" si="95"/>
        <v>0</v>
      </c>
    </row>
    <row r="284" spans="1:18" x14ac:dyDescent="0.2">
      <c r="C284" s="37"/>
      <c r="D284" s="37" t="s">
        <v>132</v>
      </c>
      <c r="E284" s="37"/>
      <c r="H284" s="37">
        <f>H263-H283</f>
        <v>0</v>
      </c>
      <c r="I284" s="37">
        <f>I261-I283</f>
        <v>0</v>
      </c>
      <c r="J284" s="37"/>
      <c r="L284" s="37">
        <f t="shared" ref="L284:Q284" si="96">L261-L283</f>
        <v>8.8698579929769039E-6</v>
      </c>
      <c r="M284" s="37">
        <f t="shared" si="96"/>
        <v>0</v>
      </c>
      <c r="N284" s="37">
        <f t="shared" si="96"/>
        <v>1.1301381164230406E-6</v>
      </c>
      <c r="O284" s="37">
        <f t="shared" si="96"/>
        <v>0</v>
      </c>
      <c r="P284" s="37">
        <f t="shared" si="96"/>
        <v>0</v>
      </c>
      <c r="Q284" s="37">
        <f t="shared" si="96"/>
        <v>0</v>
      </c>
    </row>
    <row r="285" spans="1:18" x14ac:dyDescent="0.2"/>
    <row r="286" spans="1:18" x14ac:dyDescent="0.2">
      <c r="B286" s="41" t="s">
        <v>160</v>
      </c>
      <c r="C286" s="41" t="s">
        <v>160</v>
      </c>
      <c r="D286" s="41" t="s">
        <v>160</v>
      </c>
      <c r="E286" s="41" t="s">
        <v>160</v>
      </c>
      <c r="F286" s="41" t="s">
        <v>160</v>
      </c>
      <c r="G286" s="41" t="s">
        <v>160</v>
      </c>
      <c r="H286" s="41" t="s">
        <v>160</v>
      </c>
      <c r="I286" s="41" t="s">
        <v>160</v>
      </c>
      <c r="J286" s="41" t="s">
        <v>160</v>
      </c>
      <c r="K286" s="41" t="s">
        <v>160</v>
      </c>
      <c r="L286" s="41" t="s">
        <v>160</v>
      </c>
      <c r="M286" s="41" t="s">
        <v>160</v>
      </c>
      <c r="N286" s="41" t="s">
        <v>160</v>
      </c>
      <c r="O286" s="41" t="s">
        <v>160</v>
      </c>
      <c r="P286" s="41"/>
      <c r="Q286" s="41" t="s">
        <v>160</v>
      </c>
      <c r="R286" s="41" t="s">
        <v>160</v>
      </c>
    </row>
    <row r="287" spans="1:18" x14ac:dyDescent="0.2"/>
    <row r="288" spans="1:18" x14ac:dyDescent="0.2">
      <c r="A288" s="16" t="s">
        <v>160</v>
      </c>
      <c r="B288" s="16" t="str">
        <f>$B$1</f>
        <v>H:\Acctg\2008\MHSA\CostReport\07-08 Annual Report2.xls</v>
      </c>
    </row>
    <row r="289" spans="2:17" ht="15.75" x14ac:dyDescent="0.25">
      <c r="B289" s="33" t="str">
        <f>B253</f>
        <v>Worksheet</v>
      </c>
    </row>
    <row r="290" spans="2:17" x14ac:dyDescent="0.2"/>
    <row r="291" spans="2:17" ht="15.75" x14ac:dyDescent="0.25">
      <c r="C291" s="42" t="s">
        <v>157</v>
      </c>
      <c r="D291" s="43" t="s">
        <v>116</v>
      </c>
      <c r="E291" s="37"/>
      <c r="F291" s="31"/>
      <c r="H291" s="31" t="s">
        <v>124</v>
      </c>
      <c r="I291" s="31" t="s">
        <v>103</v>
      </c>
      <c r="J291" s="31" t="s">
        <v>137</v>
      </c>
      <c r="L291" s="31" t="s">
        <v>0</v>
      </c>
      <c r="M291" s="31" t="s">
        <v>110</v>
      </c>
      <c r="N291" s="31" t="s">
        <v>122</v>
      </c>
      <c r="O291" s="31" t="s">
        <v>196</v>
      </c>
      <c r="P291" s="31" t="s">
        <v>3</v>
      </c>
      <c r="Q291" s="31" t="s">
        <v>131</v>
      </c>
    </row>
    <row r="292" spans="2:17" x14ac:dyDescent="0.2">
      <c r="C292" s="37" t="s">
        <v>119</v>
      </c>
      <c r="D292" s="37" t="s">
        <v>107</v>
      </c>
      <c r="E292" s="37"/>
      <c r="H292" s="37">
        <v>0</v>
      </c>
      <c r="I292" s="40">
        <f>I19</f>
        <v>0</v>
      </c>
      <c r="J292" s="37"/>
      <c r="M292" s="37"/>
      <c r="N292" s="37"/>
      <c r="Q292" s="37"/>
    </row>
    <row r="293" spans="2:17" x14ac:dyDescent="0.2">
      <c r="C293" s="37" t="s">
        <v>120</v>
      </c>
      <c r="D293" s="37" t="s">
        <v>121</v>
      </c>
      <c r="E293" s="37"/>
      <c r="H293" s="37">
        <v>0</v>
      </c>
      <c r="I293" s="40">
        <f>J19</f>
        <v>0</v>
      </c>
      <c r="J293" s="37">
        <f>I292+I293+0.00001</f>
        <v>1.0000000000000001E-5</v>
      </c>
      <c r="L293" s="40">
        <f t="shared" ref="L293:Q293" si="97">L19</f>
        <v>0</v>
      </c>
      <c r="M293" s="40">
        <f t="shared" si="97"/>
        <v>0</v>
      </c>
      <c r="N293" s="40">
        <f t="shared" si="97"/>
        <v>0</v>
      </c>
      <c r="O293" s="40">
        <f t="shared" si="97"/>
        <v>0</v>
      </c>
      <c r="P293" s="40">
        <f t="shared" si="97"/>
        <v>0</v>
      </c>
      <c r="Q293" s="40">
        <f t="shared" si="97"/>
        <v>0</v>
      </c>
    </row>
    <row r="294" spans="2:17" x14ac:dyDescent="0.2">
      <c r="C294" s="37" t="s">
        <v>140</v>
      </c>
      <c r="D294" s="37" t="s">
        <v>108</v>
      </c>
      <c r="E294" s="37"/>
      <c r="H294" s="37">
        <v>117900</v>
      </c>
      <c r="I294" s="40">
        <f>I20</f>
        <v>0</v>
      </c>
      <c r="J294" s="37"/>
      <c r="L294" s="37"/>
      <c r="M294" s="37"/>
      <c r="N294" s="37"/>
      <c r="O294" s="37"/>
      <c r="P294" s="37"/>
      <c r="Q294" s="37"/>
    </row>
    <row r="295" spans="2:17" x14ac:dyDescent="0.2">
      <c r="C295" s="37" t="s">
        <v>141</v>
      </c>
      <c r="D295" s="37" t="s">
        <v>109</v>
      </c>
      <c r="E295" s="37"/>
      <c r="H295" s="37">
        <f>217500+53100</f>
        <v>270600</v>
      </c>
      <c r="I295" s="40">
        <f>J20</f>
        <v>236328</v>
      </c>
      <c r="J295" s="37">
        <f>I294+I295+0.00001</f>
        <v>236328.00000999999</v>
      </c>
      <c r="L295" s="40">
        <f t="shared" ref="L295:Q295" si="98">L20</f>
        <v>186796</v>
      </c>
      <c r="M295" s="40">
        <f t="shared" si="98"/>
        <v>0</v>
      </c>
      <c r="N295" s="40">
        <f t="shared" si="98"/>
        <v>49532</v>
      </c>
      <c r="O295" s="40">
        <f t="shared" si="98"/>
        <v>0</v>
      </c>
      <c r="P295" s="40">
        <f t="shared" si="98"/>
        <v>0</v>
      </c>
      <c r="Q295" s="40">
        <f t="shared" si="98"/>
        <v>0</v>
      </c>
    </row>
    <row r="296" spans="2:17" x14ac:dyDescent="0.2">
      <c r="C296" s="37"/>
      <c r="D296" s="37"/>
      <c r="E296" s="37"/>
      <c r="H296" s="37"/>
      <c r="I296" s="37"/>
      <c r="J296" s="37"/>
      <c r="L296" s="37"/>
      <c r="M296" s="37"/>
      <c r="N296" s="37"/>
      <c r="O296" s="37"/>
      <c r="P296" s="37"/>
      <c r="Q296" s="37"/>
    </row>
    <row r="297" spans="2:17" x14ac:dyDescent="0.2">
      <c r="C297" s="37"/>
      <c r="D297" s="37" t="s">
        <v>106</v>
      </c>
      <c r="E297" s="37"/>
      <c r="H297" s="44">
        <f>SUM(H292:H295)</f>
        <v>388500</v>
      </c>
      <c r="I297" s="44">
        <f>SUM(I292:I295)</f>
        <v>236328</v>
      </c>
      <c r="J297" s="44">
        <f>SUM(J292:J295)</f>
        <v>236328.00001999998</v>
      </c>
      <c r="L297" s="44">
        <f t="shared" ref="L297:Q297" si="99">SUM(L293:L295)</f>
        <v>186796</v>
      </c>
      <c r="M297" s="44">
        <f t="shared" si="99"/>
        <v>0</v>
      </c>
      <c r="N297" s="44">
        <f t="shared" si="99"/>
        <v>49532</v>
      </c>
      <c r="O297" s="44">
        <f t="shared" si="99"/>
        <v>0</v>
      </c>
      <c r="P297" s="44">
        <f t="shared" si="99"/>
        <v>0</v>
      </c>
      <c r="Q297" s="44">
        <f t="shared" si="99"/>
        <v>0</v>
      </c>
    </row>
    <row r="298" spans="2:17" x14ac:dyDescent="0.2">
      <c r="C298" s="37"/>
      <c r="D298" s="37" t="s">
        <v>123</v>
      </c>
      <c r="E298" s="37"/>
      <c r="H298" s="37">
        <v>114500</v>
      </c>
      <c r="I298" s="37">
        <f>SUM(L297:Q297)</f>
        <v>236328</v>
      </c>
      <c r="J298" s="37">
        <f>H298-I298</f>
        <v>-121828</v>
      </c>
      <c r="M298" s="37"/>
      <c r="N298" s="37"/>
      <c r="Q298" s="37"/>
    </row>
    <row r="299" spans="2:17" x14ac:dyDescent="0.2">
      <c r="C299" s="37"/>
      <c r="D299" s="37" t="s">
        <v>128</v>
      </c>
      <c r="E299" s="37"/>
      <c r="H299" s="44">
        <f>H297-H298</f>
        <v>274000</v>
      </c>
      <c r="I299" s="44">
        <f>I297-I298</f>
        <v>0</v>
      </c>
      <c r="J299" s="45"/>
      <c r="M299" s="37"/>
      <c r="N299" s="37"/>
      <c r="Q299" s="37"/>
    </row>
    <row r="300" spans="2:17" x14ac:dyDescent="0.2">
      <c r="C300" s="37"/>
      <c r="D300" s="37"/>
      <c r="E300" s="37"/>
      <c r="H300" s="37"/>
      <c r="I300" s="37"/>
      <c r="J300" s="37"/>
      <c r="M300" s="37"/>
      <c r="N300" s="37"/>
      <c r="Q300" s="37"/>
    </row>
    <row r="301" spans="2:17" ht="15.75" x14ac:dyDescent="0.25">
      <c r="C301" s="43" t="s">
        <v>125</v>
      </c>
      <c r="D301" s="43" t="s">
        <v>129</v>
      </c>
      <c r="E301" s="37"/>
      <c r="H301" s="37">
        <v>95900</v>
      </c>
      <c r="I301" s="37"/>
      <c r="J301" s="37"/>
      <c r="L301" s="31" t="s">
        <v>0</v>
      </c>
      <c r="M301" s="31" t="s">
        <v>110</v>
      </c>
      <c r="N301" s="31" t="s">
        <v>122</v>
      </c>
      <c r="O301" s="31" t="s">
        <v>196</v>
      </c>
      <c r="P301" s="31" t="s">
        <v>3</v>
      </c>
      <c r="Q301" s="31" t="s">
        <v>131</v>
      </c>
    </row>
    <row r="302" spans="2:17" x14ac:dyDescent="0.2">
      <c r="B302" s="37" t="str">
        <f>$C$301&amp;C302</f>
        <v>FCP</v>
      </c>
      <c r="C302" s="37" t="s">
        <v>119</v>
      </c>
      <c r="D302" s="37" t="s">
        <v>107</v>
      </c>
      <c r="E302" s="37"/>
      <c r="H302" s="37"/>
      <c r="I302" s="37">
        <f>H301/H319*I292</f>
        <v>0</v>
      </c>
      <c r="J302" s="40" t="str">
        <f ca="1">"Row "&amp;CELL("row",M293)</f>
        <v>Row 293</v>
      </c>
      <c r="L302" s="40">
        <f t="shared" ref="L302:Q303" si="100">$I302/$J$293*L$293</f>
        <v>0</v>
      </c>
      <c r="M302" s="40">
        <f t="shared" si="100"/>
        <v>0</v>
      </c>
      <c r="N302" s="40">
        <f t="shared" si="100"/>
        <v>0</v>
      </c>
      <c r="O302" s="40">
        <f t="shared" si="100"/>
        <v>0</v>
      </c>
      <c r="P302" s="40">
        <f t="shared" si="100"/>
        <v>0</v>
      </c>
      <c r="Q302" s="40">
        <f t="shared" si="100"/>
        <v>0</v>
      </c>
    </row>
    <row r="303" spans="2:17" x14ac:dyDescent="0.2">
      <c r="B303" s="37" t="str">
        <f>$C$301&amp;C303</f>
        <v>FCO</v>
      </c>
      <c r="C303" s="37" t="s">
        <v>120</v>
      </c>
      <c r="D303" s="37" t="s">
        <v>121</v>
      </c>
      <c r="E303" s="37"/>
      <c r="H303" s="37"/>
      <c r="I303" s="37">
        <f>H301/H319*I293</f>
        <v>0</v>
      </c>
      <c r="J303" s="37"/>
      <c r="L303" s="40">
        <f t="shared" si="100"/>
        <v>0</v>
      </c>
      <c r="M303" s="40">
        <f t="shared" si="100"/>
        <v>0</v>
      </c>
      <c r="N303" s="40">
        <f t="shared" si="100"/>
        <v>0</v>
      </c>
      <c r="O303" s="40">
        <f t="shared" si="100"/>
        <v>0</v>
      </c>
      <c r="P303" s="40">
        <f t="shared" si="100"/>
        <v>0</v>
      </c>
      <c r="Q303" s="40">
        <f t="shared" si="100"/>
        <v>0</v>
      </c>
    </row>
    <row r="304" spans="2:17" x14ac:dyDescent="0.2">
      <c r="B304" s="37" t="str">
        <f>$C$301&amp;C304</f>
        <v>FKP</v>
      </c>
      <c r="C304" s="37" t="s">
        <v>140</v>
      </c>
      <c r="D304" s="37" t="s">
        <v>108</v>
      </c>
      <c r="E304" s="37"/>
      <c r="H304" s="37"/>
      <c r="I304" s="37">
        <f>H301/H319*I294</f>
        <v>0</v>
      </c>
      <c r="J304" s="37" t="str">
        <f ca="1">"Row "&amp;CELL("row",M295)</f>
        <v>Row 295</v>
      </c>
      <c r="L304" s="37">
        <f t="shared" ref="L304:Q305" si="101">$I304/$J$295*L$295</f>
        <v>0</v>
      </c>
      <c r="M304" s="37">
        <f t="shared" si="101"/>
        <v>0</v>
      </c>
      <c r="N304" s="37">
        <f t="shared" si="101"/>
        <v>0</v>
      </c>
      <c r="O304" s="37">
        <f t="shared" si="101"/>
        <v>0</v>
      </c>
      <c r="P304" s="37">
        <f t="shared" si="101"/>
        <v>0</v>
      </c>
      <c r="Q304" s="37">
        <f t="shared" si="101"/>
        <v>0</v>
      </c>
    </row>
    <row r="305" spans="2:17" x14ac:dyDescent="0.2">
      <c r="B305" s="37" t="str">
        <f>$C$301&amp;C305</f>
        <v>FKO</v>
      </c>
      <c r="C305" s="37" t="s">
        <v>141</v>
      </c>
      <c r="D305" s="37" t="s">
        <v>109</v>
      </c>
      <c r="E305" s="37"/>
      <c r="H305" s="37"/>
      <c r="I305" s="37">
        <f>H301/H319*I295</f>
        <v>82714.799999999988</v>
      </c>
      <c r="J305" s="37"/>
      <c r="L305" s="37">
        <f t="shared" si="101"/>
        <v>65378.599997233563</v>
      </c>
      <c r="M305" s="37">
        <f t="shared" si="101"/>
        <v>0</v>
      </c>
      <c r="N305" s="37">
        <f t="shared" si="101"/>
        <v>17336.199999266435</v>
      </c>
      <c r="O305" s="37">
        <f t="shared" si="101"/>
        <v>0</v>
      </c>
      <c r="P305" s="37">
        <f t="shared" si="101"/>
        <v>0</v>
      </c>
      <c r="Q305" s="37">
        <f t="shared" si="101"/>
        <v>0</v>
      </c>
    </row>
    <row r="306" spans="2:17" x14ac:dyDescent="0.2">
      <c r="C306" s="37"/>
      <c r="D306" s="37"/>
      <c r="E306" s="37"/>
      <c r="H306" s="37"/>
      <c r="I306" s="37"/>
      <c r="J306" s="37"/>
      <c r="L306" s="37"/>
      <c r="M306" s="37"/>
      <c r="N306" s="37"/>
      <c r="O306" s="37"/>
      <c r="P306" s="37"/>
      <c r="Q306" s="37"/>
    </row>
    <row r="307" spans="2:17" ht="15.75" x14ac:dyDescent="0.25">
      <c r="C307" s="43" t="s">
        <v>126</v>
      </c>
      <c r="D307" s="43" t="s">
        <v>130</v>
      </c>
      <c r="E307" s="37"/>
      <c r="H307" s="37">
        <v>164400</v>
      </c>
      <c r="I307" s="37"/>
      <c r="J307" s="37"/>
      <c r="L307" s="37"/>
      <c r="M307" s="37"/>
      <c r="N307" s="37"/>
      <c r="O307" s="37"/>
      <c r="P307" s="37"/>
      <c r="Q307" s="37"/>
    </row>
    <row r="308" spans="2:17" x14ac:dyDescent="0.2">
      <c r="B308" s="37" t="str">
        <f>$C$307&amp;C308</f>
        <v>SCP</v>
      </c>
      <c r="C308" s="37" t="s">
        <v>119</v>
      </c>
      <c r="D308" s="37" t="s">
        <v>107</v>
      </c>
      <c r="E308" s="37"/>
      <c r="H308" s="37"/>
      <c r="I308" s="37">
        <f>H307/H319*I292</f>
        <v>0</v>
      </c>
      <c r="J308" s="37"/>
      <c r="L308" s="40">
        <f t="shared" ref="L308:Q309" si="102">$I308/$J$293*L$293</f>
        <v>0</v>
      </c>
      <c r="M308" s="40">
        <f t="shared" si="102"/>
        <v>0</v>
      </c>
      <c r="N308" s="40">
        <f t="shared" si="102"/>
        <v>0</v>
      </c>
      <c r="O308" s="40">
        <f t="shared" si="102"/>
        <v>0</v>
      </c>
      <c r="P308" s="40">
        <f t="shared" si="102"/>
        <v>0</v>
      </c>
      <c r="Q308" s="40">
        <f t="shared" si="102"/>
        <v>0</v>
      </c>
    </row>
    <row r="309" spans="2:17" x14ac:dyDescent="0.2">
      <c r="B309" s="37" t="str">
        <f>$C$307&amp;C309</f>
        <v>SCO</v>
      </c>
      <c r="C309" s="37" t="s">
        <v>120</v>
      </c>
      <c r="D309" s="37" t="s">
        <v>121</v>
      </c>
      <c r="E309" s="37"/>
      <c r="H309" s="37"/>
      <c r="I309" s="37">
        <f>H307/H319*I293</f>
        <v>0</v>
      </c>
      <c r="J309" s="37"/>
      <c r="L309" s="40">
        <f t="shared" si="102"/>
        <v>0</v>
      </c>
      <c r="M309" s="40">
        <f t="shared" si="102"/>
        <v>0</v>
      </c>
      <c r="N309" s="40">
        <f t="shared" si="102"/>
        <v>0</v>
      </c>
      <c r="O309" s="40">
        <f t="shared" si="102"/>
        <v>0</v>
      </c>
      <c r="P309" s="40">
        <f t="shared" si="102"/>
        <v>0</v>
      </c>
      <c r="Q309" s="40">
        <f t="shared" si="102"/>
        <v>0</v>
      </c>
    </row>
    <row r="310" spans="2:17" x14ac:dyDescent="0.2">
      <c r="B310" s="37" t="str">
        <f>$C$307&amp;C310</f>
        <v>SKP</v>
      </c>
      <c r="C310" s="37" t="s">
        <v>140</v>
      </c>
      <c r="D310" s="37" t="s">
        <v>108</v>
      </c>
      <c r="E310" s="37"/>
      <c r="H310" s="37"/>
      <c r="I310" s="37">
        <f>H307/H319*I294</f>
        <v>0</v>
      </c>
      <c r="J310" s="37"/>
      <c r="L310" s="37">
        <f t="shared" ref="L310:Q311" si="103">$I310/$J$295*L$295</f>
        <v>0</v>
      </c>
      <c r="M310" s="37">
        <f t="shared" si="103"/>
        <v>0</v>
      </c>
      <c r="N310" s="37">
        <f t="shared" si="103"/>
        <v>0</v>
      </c>
      <c r="O310" s="37">
        <f t="shared" si="103"/>
        <v>0</v>
      </c>
      <c r="P310" s="37">
        <f t="shared" si="103"/>
        <v>0</v>
      </c>
      <c r="Q310" s="37">
        <f t="shared" si="103"/>
        <v>0</v>
      </c>
    </row>
    <row r="311" spans="2:17" x14ac:dyDescent="0.2">
      <c r="B311" s="37" t="str">
        <f>$C$307&amp;C311</f>
        <v>SKO</v>
      </c>
      <c r="C311" s="37" t="s">
        <v>141</v>
      </c>
      <c r="D311" s="37" t="s">
        <v>109</v>
      </c>
      <c r="E311" s="37"/>
      <c r="H311" s="37"/>
      <c r="I311" s="37">
        <f>H307/H319*I295</f>
        <v>141796.79999999999</v>
      </c>
      <c r="J311" s="37"/>
      <c r="L311" s="37">
        <f t="shared" si="103"/>
        <v>112077.59999525754</v>
      </c>
      <c r="M311" s="37">
        <f t="shared" si="103"/>
        <v>0</v>
      </c>
      <c r="N311" s="37">
        <f t="shared" si="103"/>
        <v>29719.199998742457</v>
      </c>
      <c r="O311" s="37">
        <f t="shared" si="103"/>
        <v>0</v>
      </c>
      <c r="P311" s="37">
        <f t="shared" si="103"/>
        <v>0</v>
      </c>
      <c r="Q311" s="37">
        <f t="shared" si="103"/>
        <v>0</v>
      </c>
    </row>
    <row r="312" spans="2:17" x14ac:dyDescent="0.2">
      <c r="C312" s="37"/>
      <c r="D312" s="37"/>
      <c r="E312" s="37"/>
      <c r="H312" s="37"/>
      <c r="I312" s="37"/>
      <c r="J312" s="37"/>
      <c r="L312" s="37"/>
      <c r="M312" s="37"/>
      <c r="N312" s="37"/>
      <c r="O312" s="37"/>
      <c r="P312" s="37"/>
      <c r="Q312" s="37"/>
    </row>
    <row r="313" spans="2:17" ht="15.75" x14ac:dyDescent="0.25">
      <c r="C313" s="43" t="s">
        <v>127</v>
      </c>
      <c r="D313" s="43" t="s">
        <v>159</v>
      </c>
      <c r="E313" s="37"/>
      <c r="H313" s="37">
        <f>H299-H301-H307</f>
        <v>13700</v>
      </c>
      <c r="I313" s="37"/>
      <c r="J313" s="37"/>
      <c r="L313" s="37"/>
      <c r="M313" s="37"/>
      <c r="N313" s="37"/>
      <c r="O313" s="37"/>
      <c r="P313" s="37"/>
      <c r="Q313" s="37"/>
    </row>
    <row r="314" spans="2:17" x14ac:dyDescent="0.2">
      <c r="B314" s="37" t="str">
        <f>$C$313&amp;C314</f>
        <v>OCP</v>
      </c>
      <c r="C314" s="37" t="s">
        <v>119</v>
      </c>
      <c r="D314" s="37" t="s">
        <v>107</v>
      </c>
      <c r="E314" s="37"/>
      <c r="H314" s="37"/>
      <c r="I314" s="37">
        <f>I292-I302-I308</f>
        <v>0</v>
      </c>
      <c r="J314" s="37"/>
      <c r="L314" s="40">
        <f t="shared" ref="L314:Q315" si="104">$I314/$J$293*L$293</f>
        <v>0</v>
      </c>
      <c r="M314" s="40">
        <f t="shared" si="104"/>
        <v>0</v>
      </c>
      <c r="N314" s="40">
        <f t="shared" si="104"/>
        <v>0</v>
      </c>
      <c r="O314" s="40">
        <f t="shared" si="104"/>
        <v>0</v>
      </c>
      <c r="P314" s="40">
        <f t="shared" si="104"/>
        <v>0</v>
      </c>
      <c r="Q314" s="40">
        <f t="shared" si="104"/>
        <v>0</v>
      </c>
    </row>
    <row r="315" spans="2:17" x14ac:dyDescent="0.2">
      <c r="B315" s="37" t="str">
        <f>$C$313&amp;C315</f>
        <v>OCO</v>
      </c>
      <c r="C315" s="37" t="s">
        <v>120</v>
      </c>
      <c r="D315" s="37" t="s">
        <v>121</v>
      </c>
      <c r="E315" s="37"/>
      <c r="H315" s="37"/>
      <c r="I315" s="37">
        <f>I293-I303-I309</f>
        <v>0</v>
      </c>
      <c r="J315" s="37"/>
      <c r="L315" s="40">
        <f t="shared" si="104"/>
        <v>0</v>
      </c>
      <c r="M315" s="40">
        <f t="shared" si="104"/>
        <v>0</v>
      </c>
      <c r="N315" s="40">
        <f t="shared" si="104"/>
        <v>0</v>
      </c>
      <c r="O315" s="40">
        <f t="shared" si="104"/>
        <v>0</v>
      </c>
      <c r="P315" s="40">
        <f t="shared" si="104"/>
        <v>0</v>
      </c>
      <c r="Q315" s="40">
        <f t="shared" si="104"/>
        <v>0</v>
      </c>
    </row>
    <row r="316" spans="2:17" x14ac:dyDescent="0.2">
      <c r="B316" s="37" t="str">
        <f>$C$313&amp;C316</f>
        <v>OKP</v>
      </c>
      <c r="C316" s="37" t="s">
        <v>140</v>
      </c>
      <c r="D316" s="37" t="s">
        <v>108</v>
      </c>
      <c r="E316" s="37"/>
      <c r="H316" s="37"/>
      <c r="I316" s="37">
        <f>I294-I304-I310</f>
        <v>0</v>
      </c>
      <c r="J316" s="37"/>
      <c r="L316" s="37">
        <f t="shared" ref="L316:Q317" si="105">$I316/$J$295*L$295</f>
        <v>0</v>
      </c>
      <c r="M316" s="37">
        <f t="shared" si="105"/>
        <v>0</v>
      </c>
      <c r="N316" s="37">
        <f t="shared" si="105"/>
        <v>0</v>
      </c>
      <c r="O316" s="37">
        <f t="shared" si="105"/>
        <v>0</v>
      </c>
      <c r="P316" s="37">
        <f t="shared" si="105"/>
        <v>0</v>
      </c>
      <c r="Q316" s="37">
        <f t="shared" si="105"/>
        <v>0</v>
      </c>
    </row>
    <row r="317" spans="2:17" x14ac:dyDescent="0.2">
      <c r="B317" s="37" t="str">
        <f>$C$313&amp;C317</f>
        <v>OKO</v>
      </c>
      <c r="C317" s="37" t="s">
        <v>141</v>
      </c>
      <c r="D317" s="37" t="s">
        <v>109</v>
      </c>
      <c r="E317" s="37"/>
      <c r="H317" s="37"/>
      <c r="I317" s="37">
        <f>I295-I305-I311</f>
        <v>11816.400000000023</v>
      </c>
      <c r="J317" s="37"/>
      <c r="L317" s="37">
        <f t="shared" si="105"/>
        <v>9339.7999996048129</v>
      </c>
      <c r="M317" s="37">
        <f t="shared" si="105"/>
        <v>0</v>
      </c>
      <c r="N317" s="37">
        <f t="shared" si="105"/>
        <v>2476.5999998952097</v>
      </c>
      <c r="O317" s="37">
        <f t="shared" si="105"/>
        <v>0</v>
      </c>
      <c r="P317" s="37">
        <f t="shared" si="105"/>
        <v>0</v>
      </c>
      <c r="Q317" s="37">
        <f t="shared" si="105"/>
        <v>0</v>
      </c>
    </row>
    <row r="318" spans="2:17" x14ac:dyDescent="0.2">
      <c r="C318" s="37"/>
      <c r="D318" s="37"/>
      <c r="E318" s="37"/>
      <c r="H318" s="37"/>
      <c r="I318" s="37"/>
      <c r="J318" s="37"/>
      <c r="L318" s="37"/>
      <c r="M318" s="37"/>
      <c r="N318" s="37"/>
      <c r="O318" s="37"/>
      <c r="P318" s="37"/>
      <c r="Q318" s="37"/>
    </row>
    <row r="319" spans="2:17" x14ac:dyDescent="0.2">
      <c r="C319" s="37"/>
      <c r="D319" s="37" t="s">
        <v>106</v>
      </c>
      <c r="E319" s="37"/>
      <c r="H319" s="44">
        <f>SUM(H301:H318)</f>
        <v>274000</v>
      </c>
      <c r="I319" s="44">
        <f>SUM(I301:I318)</f>
        <v>236328</v>
      </c>
      <c r="J319" s="44"/>
      <c r="L319" s="44">
        <f t="shared" ref="L319:Q319" si="106">SUM(L301:L318)</f>
        <v>186795.99999209592</v>
      </c>
      <c r="M319" s="44">
        <f t="shared" si="106"/>
        <v>0</v>
      </c>
      <c r="N319" s="44">
        <f t="shared" si="106"/>
        <v>49531.999997904102</v>
      </c>
      <c r="O319" s="44">
        <f t="shared" si="106"/>
        <v>0</v>
      </c>
      <c r="P319" s="44">
        <f t="shared" si="106"/>
        <v>0</v>
      </c>
      <c r="Q319" s="44">
        <f t="shared" si="106"/>
        <v>0</v>
      </c>
    </row>
    <row r="320" spans="2:17" x14ac:dyDescent="0.2">
      <c r="C320" s="37"/>
      <c r="D320" s="37" t="s">
        <v>132</v>
      </c>
      <c r="E320" s="37"/>
      <c r="H320" s="37">
        <f>H299-H319</f>
        <v>0</v>
      </c>
      <c r="I320" s="37">
        <f>I297-I319</f>
        <v>0</v>
      </c>
      <c r="J320" s="37"/>
      <c r="L320" s="37">
        <f t="shared" ref="L320:Q320" si="107">L297-L319</f>
        <v>7.9040764831006527E-6</v>
      </c>
      <c r="M320" s="37">
        <f t="shared" si="107"/>
        <v>0</v>
      </c>
      <c r="N320" s="37">
        <f t="shared" si="107"/>
        <v>2.0958977984264493E-6</v>
      </c>
      <c r="O320" s="37">
        <f t="shared" si="107"/>
        <v>0</v>
      </c>
      <c r="P320" s="37">
        <f t="shared" si="107"/>
        <v>0</v>
      </c>
      <c r="Q320" s="37">
        <f t="shared" si="107"/>
        <v>0</v>
      </c>
    </row>
    <row r="321" spans="1:19" x14ac:dyDescent="0.2"/>
    <row r="322" spans="1:19" x14ac:dyDescent="0.2">
      <c r="B322" s="41" t="s">
        <v>160</v>
      </c>
      <c r="C322" s="41" t="s">
        <v>160</v>
      </c>
      <c r="D322" s="41" t="s">
        <v>160</v>
      </c>
      <c r="E322" s="41" t="s">
        <v>160</v>
      </c>
      <c r="F322" s="41" t="s">
        <v>160</v>
      </c>
      <c r="G322" s="41" t="s">
        <v>160</v>
      </c>
      <c r="H322" s="41" t="s">
        <v>160</v>
      </c>
      <c r="I322" s="41" t="s">
        <v>160</v>
      </c>
      <c r="J322" s="41" t="s">
        <v>160</v>
      </c>
      <c r="K322" s="41" t="s">
        <v>160</v>
      </c>
      <c r="L322" s="41" t="s">
        <v>160</v>
      </c>
      <c r="M322" s="41" t="s">
        <v>160</v>
      </c>
      <c r="N322" s="41" t="s">
        <v>160</v>
      </c>
      <c r="O322" s="41" t="s">
        <v>160</v>
      </c>
      <c r="P322" s="41"/>
      <c r="Q322" s="41" t="s">
        <v>160</v>
      </c>
      <c r="R322" s="41" t="s">
        <v>160</v>
      </c>
    </row>
    <row r="323" spans="1:19" x14ac:dyDescent="0.2"/>
    <row r="324" spans="1:19" x14ac:dyDescent="0.2">
      <c r="A324" s="16" t="s">
        <v>160</v>
      </c>
      <c r="B324" s="16" t="str">
        <f>$B$1</f>
        <v>H:\Acctg\2008\MHSA\CostReport\07-08 Annual Report2.xls</v>
      </c>
    </row>
    <row r="325" spans="1:19" ht="15.75" x14ac:dyDescent="0.25">
      <c r="B325" s="33" t="str">
        <f>B289</f>
        <v>Worksheet</v>
      </c>
    </row>
    <row r="326" spans="1:19" x14ac:dyDescent="0.2"/>
    <row r="327" spans="1:19" ht="15.75" x14ac:dyDescent="0.25">
      <c r="C327" s="42" t="s">
        <v>158</v>
      </c>
      <c r="D327" s="43" t="s">
        <v>117</v>
      </c>
      <c r="E327" s="37"/>
      <c r="F327" s="31"/>
      <c r="H327" s="31" t="s">
        <v>124</v>
      </c>
      <c r="I327" s="31" t="s">
        <v>103</v>
      </c>
      <c r="J327" s="31" t="s">
        <v>137</v>
      </c>
      <c r="L327" s="31" t="s">
        <v>0</v>
      </c>
      <c r="M327" s="31" t="s">
        <v>110</v>
      </c>
      <c r="N327" s="31" t="s">
        <v>122</v>
      </c>
      <c r="O327" s="31" t="s">
        <v>196</v>
      </c>
      <c r="P327" s="31" t="s">
        <v>3</v>
      </c>
      <c r="Q327" s="31" t="s">
        <v>131</v>
      </c>
    </row>
    <row r="328" spans="1:19" x14ac:dyDescent="0.2">
      <c r="C328" s="37" t="s">
        <v>119</v>
      </c>
      <c r="D328" s="37" t="s">
        <v>107</v>
      </c>
      <c r="E328" s="37"/>
      <c r="H328" s="37">
        <v>1287522</v>
      </c>
      <c r="I328" s="46">
        <f>I21</f>
        <v>1490009</v>
      </c>
      <c r="J328" s="37"/>
      <c r="M328" s="37"/>
      <c r="N328" s="37"/>
      <c r="Q328" s="37"/>
    </row>
    <row r="329" spans="1:19" x14ac:dyDescent="0.2">
      <c r="C329" s="37" t="s">
        <v>120</v>
      </c>
      <c r="D329" s="37" t="s">
        <v>121</v>
      </c>
      <c r="E329" s="37"/>
      <c r="H329" s="37">
        <f>8400+70444</f>
        <v>78844</v>
      </c>
      <c r="I329" s="46">
        <f>J21</f>
        <v>345298</v>
      </c>
      <c r="J329" s="37">
        <f>I328+I329+0.00001</f>
        <v>1835307.0000100001</v>
      </c>
      <c r="L329" s="40">
        <f t="shared" ref="L329:Q329" si="108">L21</f>
        <v>1248086</v>
      </c>
      <c r="M329" s="40">
        <f t="shared" si="108"/>
        <v>0</v>
      </c>
      <c r="N329" s="40">
        <f t="shared" si="108"/>
        <v>587221</v>
      </c>
      <c r="O329" s="40">
        <f t="shared" si="108"/>
        <v>0</v>
      </c>
      <c r="P329" s="40">
        <f t="shared" si="108"/>
        <v>0</v>
      </c>
      <c r="Q329" s="40">
        <f t="shared" si="108"/>
        <v>0</v>
      </c>
      <c r="S329" s="16" t="s">
        <v>160</v>
      </c>
    </row>
    <row r="330" spans="1:19" x14ac:dyDescent="0.2">
      <c r="C330" s="37" t="s">
        <v>140</v>
      </c>
      <c r="D330" s="37" t="s">
        <v>108</v>
      </c>
      <c r="E330" s="37"/>
      <c r="H330" s="37">
        <v>482917</v>
      </c>
      <c r="I330" s="40">
        <f>I22</f>
        <v>0</v>
      </c>
      <c r="J330" s="37"/>
      <c r="L330" s="37"/>
      <c r="M330" s="37"/>
      <c r="N330" s="37"/>
      <c r="O330" s="37"/>
      <c r="P330" s="37"/>
      <c r="Q330" s="37"/>
    </row>
    <row r="331" spans="1:19" x14ac:dyDescent="0.2">
      <c r="C331" s="37" t="s">
        <v>141</v>
      </c>
      <c r="D331" s="37" t="s">
        <v>109</v>
      </c>
      <c r="E331" s="37"/>
      <c r="H331" s="37">
        <v>157083</v>
      </c>
      <c r="I331" s="40">
        <f>J22</f>
        <v>667899</v>
      </c>
      <c r="J331" s="37">
        <f>I330+I331</f>
        <v>667899</v>
      </c>
      <c r="L331" s="40">
        <f t="shared" ref="L331:Q331" si="109">L22</f>
        <v>601623</v>
      </c>
      <c r="M331" s="40">
        <f t="shared" si="109"/>
        <v>0</v>
      </c>
      <c r="N331" s="40">
        <f t="shared" si="109"/>
        <v>66276</v>
      </c>
      <c r="O331" s="40">
        <f t="shared" si="109"/>
        <v>0</v>
      </c>
      <c r="P331" s="40">
        <f t="shared" si="109"/>
        <v>0</v>
      </c>
      <c r="Q331" s="40">
        <f t="shared" si="109"/>
        <v>0</v>
      </c>
    </row>
    <row r="332" spans="1:19" x14ac:dyDescent="0.2">
      <c r="C332" s="37"/>
      <c r="D332" s="37"/>
      <c r="E332" s="37"/>
      <c r="H332" s="37"/>
      <c r="I332" s="37"/>
      <c r="J332" s="37"/>
      <c r="L332" s="37"/>
      <c r="M332" s="37"/>
      <c r="N332" s="37"/>
      <c r="O332" s="37"/>
      <c r="P332" s="37"/>
      <c r="Q332" s="37"/>
    </row>
    <row r="333" spans="1:19" x14ac:dyDescent="0.2">
      <c r="C333" s="37"/>
      <c r="D333" s="37" t="s">
        <v>106</v>
      </c>
      <c r="E333" s="37"/>
      <c r="H333" s="44">
        <f>SUM(H328:H331)</f>
        <v>2006366</v>
      </c>
      <c r="I333" s="44">
        <f>SUM(I328:I331)</f>
        <v>2503206</v>
      </c>
      <c r="J333" s="44">
        <f>SUM(J328:J331)</f>
        <v>2503206.0000100001</v>
      </c>
      <c r="L333" s="44">
        <f t="shared" ref="L333:Q333" si="110">SUM(L329:L331)</f>
        <v>1849709</v>
      </c>
      <c r="M333" s="44">
        <f t="shared" si="110"/>
        <v>0</v>
      </c>
      <c r="N333" s="44">
        <f t="shared" si="110"/>
        <v>653497</v>
      </c>
      <c r="O333" s="44">
        <f t="shared" si="110"/>
        <v>0</v>
      </c>
      <c r="P333" s="44">
        <f t="shared" si="110"/>
        <v>0</v>
      </c>
      <c r="Q333" s="44">
        <f t="shared" si="110"/>
        <v>0</v>
      </c>
    </row>
    <row r="334" spans="1:19" x14ac:dyDescent="0.2">
      <c r="C334" s="37"/>
      <c r="D334" s="37" t="s">
        <v>123</v>
      </c>
      <c r="E334" s="37"/>
      <c r="H334" s="37">
        <v>1068024</v>
      </c>
      <c r="I334" s="37">
        <f>SUM(L333:Q333)</f>
        <v>2503206</v>
      </c>
      <c r="J334" s="37">
        <f>H334-I334</f>
        <v>-1435182</v>
      </c>
      <c r="M334" s="37"/>
      <c r="N334" s="37"/>
      <c r="Q334" s="37"/>
    </row>
    <row r="335" spans="1:19" x14ac:dyDescent="0.2">
      <c r="C335" s="37"/>
      <c r="D335" s="37" t="s">
        <v>128</v>
      </c>
      <c r="E335" s="37"/>
      <c r="H335" s="44">
        <f>H333-H334</f>
        <v>938342</v>
      </c>
      <c r="I335" s="44">
        <f>I333-I334</f>
        <v>0</v>
      </c>
      <c r="J335" s="45"/>
      <c r="M335" s="37"/>
      <c r="N335" s="37"/>
      <c r="Q335" s="37"/>
    </row>
    <row r="336" spans="1:19" x14ac:dyDescent="0.2">
      <c r="C336" s="37"/>
      <c r="D336" s="37"/>
      <c r="E336" s="37"/>
      <c r="H336" s="37"/>
      <c r="I336" s="37"/>
      <c r="J336" s="37"/>
      <c r="M336" s="37"/>
      <c r="N336" s="37"/>
      <c r="Q336" s="37"/>
    </row>
    <row r="337" spans="2:17" ht="15.75" x14ac:dyDescent="0.25">
      <c r="C337" s="43" t="s">
        <v>125</v>
      </c>
      <c r="D337" s="43" t="s">
        <v>129</v>
      </c>
      <c r="E337" s="37"/>
      <c r="H337" s="37">
        <v>844508</v>
      </c>
      <c r="I337" s="37"/>
      <c r="J337" s="37"/>
      <c r="L337" s="31" t="s">
        <v>0</v>
      </c>
      <c r="M337" s="31" t="s">
        <v>110</v>
      </c>
      <c r="N337" s="31" t="s">
        <v>122</v>
      </c>
      <c r="O337" s="31" t="s">
        <v>196</v>
      </c>
      <c r="P337" s="31" t="s">
        <v>3</v>
      </c>
      <c r="Q337" s="31" t="s">
        <v>131</v>
      </c>
    </row>
    <row r="338" spans="2:17" x14ac:dyDescent="0.2">
      <c r="B338" s="37" t="str">
        <f>$C$337&amp;C338</f>
        <v>FCP</v>
      </c>
      <c r="C338" s="37" t="s">
        <v>119</v>
      </c>
      <c r="D338" s="37" t="s">
        <v>107</v>
      </c>
      <c r="E338" s="37"/>
      <c r="H338" s="37"/>
      <c r="I338" s="37">
        <f>H337/H355*I328</f>
        <v>1341008.4175833545</v>
      </c>
      <c r="J338" s="40" t="str">
        <f ca="1">"Row "&amp;CELL("row",M329)</f>
        <v>Row 329</v>
      </c>
      <c r="L338" s="40">
        <f t="shared" ref="L338:Q339" si="111">$I338/$J$329*L$329</f>
        <v>911942.16109828989</v>
      </c>
      <c r="M338" s="40">
        <f t="shared" si="111"/>
        <v>0</v>
      </c>
      <c r="N338" s="40">
        <f t="shared" si="111"/>
        <v>429066.25647775782</v>
      </c>
      <c r="O338" s="40">
        <f t="shared" si="111"/>
        <v>0</v>
      </c>
      <c r="P338" s="40">
        <f t="shared" si="111"/>
        <v>0</v>
      </c>
      <c r="Q338" s="40">
        <f t="shared" si="111"/>
        <v>0</v>
      </c>
    </row>
    <row r="339" spans="2:17" x14ac:dyDescent="0.2">
      <c r="B339" s="37" t="str">
        <f>$C$337&amp;C339</f>
        <v>FCO</v>
      </c>
      <c r="C339" s="37" t="s">
        <v>120</v>
      </c>
      <c r="D339" s="37" t="s">
        <v>121</v>
      </c>
      <c r="E339" s="37"/>
      <c r="H339" s="37"/>
      <c r="I339" s="37">
        <f>H337/H355*I329</f>
        <v>310768.27359747299</v>
      </c>
      <c r="J339" s="37"/>
      <c r="L339" s="40">
        <f t="shared" si="111"/>
        <v>211335.50491501548</v>
      </c>
      <c r="M339" s="40">
        <f t="shared" si="111"/>
        <v>0</v>
      </c>
      <c r="N339" s="40">
        <f t="shared" si="111"/>
        <v>99432.768680764231</v>
      </c>
      <c r="O339" s="40">
        <f t="shared" si="111"/>
        <v>0</v>
      </c>
      <c r="P339" s="40">
        <f t="shared" si="111"/>
        <v>0</v>
      </c>
      <c r="Q339" s="40">
        <f t="shared" si="111"/>
        <v>0</v>
      </c>
    </row>
    <row r="340" spans="2:17" x14ac:dyDescent="0.2">
      <c r="B340" s="37" t="str">
        <f>$C$337&amp;C340</f>
        <v>FKP</v>
      </c>
      <c r="C340" s="37" t="s">
        <v>140</v>
      </c>
      <c r="D340" s="37" t="s">
        <v>108</v>
      </c>
      <c r="E340" s="37"/>
      <c r="H340" s="37"/>
      <c r="I340" s="37">
        <f>H337/H355*I330</f>
        <v>0</v>
      </c>
      <c r="J340" s="37" t="str">
        <f ca="1">"Row "&amp;CELL("row",M331)</f>
        <v>Row 331</v>
      </c>
      <c r="L340" s="37">
        <f t="shared" ref="L340:Q341" si="112">$I340/$J$331*L$331</f>
        <v>0</v>
      </c>
      <c r="M340" s="37">
        <f t="shared" si="112"/>
        <v>0</v>
      </c>
      <c r="N340" s="37">
        <f t="shared" si="112"/>
        <v>0</v>
      </c>
      <c r="O340" s="37">
        <f t="shared" si="112"/>
        <v>0</v>
      </c>
      <c r="P340" s="37">
        <f t="shared" si="112"/>
        <v>0</v>
      </c>
      <c r="Q340" s="37">
        <f t="shared" si="112"/>
        <v>0</v>
      </c>
    </row>
    <row r="341" spans="2:17" x14ac:dyDescent="0.2">
      <c r="B341" s="37" t="str">
        <f>$C$337&amp;C341</f>
        <v>FKO</v>
      </c>
      <c r="C341" s="37" t="s">
        <v>141</v>
      </c>
      <c r="D341" s="37" t="s">
        <v>109</v>
      </c>
      <c r="E341" s="37"/>
      <c r="H341" s="37"/>
      <c r="I341" s="37">
        <f>H337/H355*I331</f>
        <v>601109.24235726416</v>
      </c>
      <c r="J341" s="37"/>
      <c r="L341" s="37">
        <f t="shared" si="112"/>
        <v>541460.82823107135</v>
      </c>
      <c r="M341" s="37">
        <f t="shared" si="112"/>
        <v>0</v>
      </c>
      <c r="N341" s="37">
        <f t="shared" si="112"/>
        <v>59648.414126192787</v>
      </c>
      <c r="O341" s="37">
        <f t="shared" si="112"/>
        <v>0</v>
      </c>
      <c r="P341" s="37">
        <f t="shared" si="112"/>
        <v>0</v>
      </c>
      <c r="Q341" s="37">
        <f t="shared" si="112"/>
        <v>0</v>
      </c>
    </row>
    <row r="342" spans="2:17" x14ac:dyDescent="0.2">
      <c r="C342" s="37"/>
      <c r="D342" s="37"/>
      <c r="E342" s="37"/>
      <c r="H342" s="37"/>
      <c r="I342" s="37"/>
      <c r="J342" s="37"/>
      <c r="L342" s="37"/>
      <c r="M342" s="37"/>
      <c r="N342" s="37"/>
      <c r="O342" s="37"/>
      <c r="P342" s="37"/>
      <c r="Q342" s="37"/>
    </row>
    <row r="343" spans="2:17" ht="15.75" x14ac:dyDescent="0.25">
      <c r="C343" s="43" t="s">
        <v>126</v>
      </c>
      <c r="D343" s="43" t="s">
        <v>130</v>
      </c>
      <c r="E343" s="37"/>
      <c r="H343" s="37">
        <v>75067</v>
      </c>
      <c r="I343" s="37"/>
      <c r="J343" s="37"/>
      <c r="L343" s="37"/>
      <c r="M343" s="37"/>
      <c r="N343" s="37"/>
      <c r="O343" s="37"/>
      <c r="P343" s="37"/>
      <c r="Q343" s="37"/>
    </row>
    <row r="344" spans="2:17" x14ac:dyDescent="0.2">
      <c r="B344" s="37" t="str">
        <f>$C$343&amp;C344</f>
        <v>SCP</v>
      </c>
      <c r="C344" s="37" t="s">
        <v>119</v>
      </c>
      <c r="D344" s="37" t="s">
        <v>107</v>
      </c>
      <c r="E344" s="37"/>
      <c r="H344" s="37"/>
      <c r="I344" s="37">
        <f>H343/H355*I328</f>
        <v>119200.14834996195</v>
      </c>
      <c r="J344" s="37"/>
      <c r="L344" s="40">
        <f t="shared" ref="L344:Q345" si="113">$I344/$J$329*L$329</f>
        <v>81061.1174875375</v>
      </c>
      <c r="M344" s="40">
        <f t="shared" si="113"/>
        <v>0</v>
      </c>
      <c r="N344" s="40">
        <f t="shared" si="113"/>
        <v>38139.030861774954</v>
      </c>
      <c r="O344" s="40">
        <f t="shared" si="113"/>
        <v>0</v>
      </c>
      <c r="P344" s="40">
        <f t="shared" si="113"/>
        <v>0</v>
      </c>
      <c r="Q344" s="40">
        <f t="shared" si="113"/>
        <v>0</v>
      </c>
    </row>
    <row r="345" spans="2:17" x14ac:dyDescent="0.2">
      <c r="B345" s="37" t="str">
        <f>$C$343&amp;C345</f>
        <v>SCO</v>
      </c>
      <c r="C345" s="37" t="s">
        <v>120</v>
      </c>
      <c r="D345" s="37" t="s">
        <v>121</v>
      </c>
      <c r="E345" s="37"/>
      <c r="H345" s="37"/>
      <c r="I345" s="37">
        <f>H343/H355*I329</f>
        <v>27623.707524548619</v>
      </c>
      <c r="J345" s="37"/>
      <c r="L345" s="40">
        <f t="shared" si="113"/>
        <v>18785.283676952105</v>
      </c>
      <c r="M345" s="40">
        <f t="shared" si="113"/>
        <v>0</v>
      </c>
      <c r="N345" s="40">
        <f t="shared" si="113"/>
        <v>8838.4238474460017</v>
      </c>
      <c r="O345" s="40">
        <f t="shared" si="113"/>
        <v>0</v>
      </c>
      <c r="P345" s="40">
        <f t="shared" si="113"/>
        <v>0</v>
      </c>
      <c r="Q345" s="40">
        <f t="shared" si="113"/>
        <v>0</v>
      </c>
    </row>
    <row r="346" spans="2:17" x14ac:dyDescent="0.2">
      <c r="B346" s="37" t="str">
        <f>$C$343&amp;C346</f>
        <v>SKP</v>
      </c>
      <c r="C346" s="37" t="s">
        <v>140</v>
      </c>
      <c r="D346" s="37" t="s">
        <v>108</v>
      </c>
      <c r="E346" s="37"/>
      <c r="H346" s="37"/>
      <c r="I346" s="37">
        <f>H343/H355*I330</f>
        <v>0</v>
      </c>
      <c r="J346" s="37"/>
      <c r="L346" s="37">
        <f t="shared" ref="L346:Q347" si="114">$I346/$J$331*L$331</f>
        <v>0</v>
      </c>
      <c r="M346" s="37">
        <f t="shared" si="114"/>
        <v>0</v>
      </c>
      <c r="N346" s="37">
        <f t="shared" si="114"/>
        <v>0</v>
      </c>
      <c r="O346" s="37">
        <f t="shared" si="114"/>
        <v>0</v>
      </c>
      <c r="P346" s="37">
        <f t="shared" si="114"/>
        <v>0</v>
      </c>
      <c r="Q346" s="37">
        <f t="shared" si="114"/>
        <v>0</v>
      </c>
    </row>
    <row r="347" spans="2:17" x14ac:dyDescent="0.2">
      <c r="B347" s="37" t="str">
        <f>$C$343&amp;C347</f>
        <v>SKO</v>
      </c>
      <c r="C347" s="37" t="s">
        <v>141</v>
      </c>
      <c r="D347" s="37" t="s">
        <v>109</v>
      </c>
      <c r="E347" s="37"/>
      <c r="H347" s="37"/>
      <c r="I347" s="37">
        <f>H343/H355*I331</f>
        <v>53431.663756924449</v>
      </c>
      <c r="J347" s="37"/>
      <c r="L347" s="37">
        <f t="shared" si="114"/>
        <v>48129.60918407148</v>
      </c>
      <c r="M347" s="37">
        <f t="shared" si="114"/>
        <v>0</v>
      </c>
      <c r="N347" s="37">
        <f t="shared" si="114"/>
        <v>5302.0545728529687</v>
      </c>
      <c r="O347" s="37">
        <f t="shared" si="114"/>
        <v>0</v>
      </c>
      <c r="P347" s="37">
        <f t="shared" si="114"/>
        <v>0</v>
      </c>
      <c r="Q347" s="37">
        <f t="shared" si="114"/>
        <v>0</v>
      </c>
    </row>
    <row r="348" spans="2:17" x14ac:dyDescent="0.2">
      <c r="C348" s="37"/>
      <c r="D348" s="37"/>
      <c r="E348" s="37"/>
      <c r="H348" s="37"/>
      <c r="I348" s="37"/>
      <c r="J348" s="37"/>
      <c r="L348" s="37"/>
      <c r="M348" s="37"/>
      <c r="N348" s="37"/>
      <c r="O348" s="37"/>
      <c r="P348" s="37"/>
      <c r="Q348" s="37"/>
    </row>
    <row r="349" spans="2:17" ht="15.75" x14ac:dyDescent="0.25">
      <c r="C349" s="43" t="s">
        <v>127</v>
      </c>
      <c r="D349" s="43" t="s">
        <v>159</v>
      </c>
      <c r="E349" s="37"/>
      <c r="H349" s="37">
        <v>18767</v>
      </c>
      <c r="I349" s="37"/>
      <c r="J349" s="37"/>
      <c r="L349" s="37"/>
      <c r="M349" s="37"/>
      <c r="N349" s="37"/>
      <c r="O349" s="37"/>
      <c r="P349" s="37"/>
      <c r="Q349" s="37"/>
    </row>
    <row r="350" spans="2:17" x14ac:dyDescent="0.2">
      <c r="B350" s="37" t="str">
        <f>$C$349&amp;C350</f>
        <v>OCP</v>
      </c>
      <c r="C350" s="37" t="s">
        <v>119</v>
      </c>
      <c r="D350" s="37" t="s">
        <v>107</v>
      </c>
      <c r="E350" s="37"/>
      <c r="H350" s="37"/>
      <c r="I350" s="37">
        <f>I328-I338-I344</f>
        <v>29800.434066683534</v>
      </c>
      <c r="J350" s="37"/>
      <c r="L350" s="40">
        <f t="shared" ref="L350:Q351" si="115">$I350/$J$329*L$329</f>
        <v>20265.549334442756</v>
      </c>
      <c r="M350" s="40">
        <f t="shared" si="115"/>
        <v>0</v>
      </c>
      <c r="N350" s="40">
        <f t="shared" si="115"/>
        <v>9534.8847320784062</v>
      </c>
      <c r="O350" s="40">
        <f t="shared" si="115"/>
        <v>0</v>
      </c>
      <c r="P350" s="40">
        <f t="shared" si="115"/>
        <v>0</v>
      </c>
      <c r="Q350" s="40">
        <f t="shared" si="115"/>
        <v>0</v>
      </c>
    </row>
    <row r="351" spans="2:17" x14ac:dyDescent="0.2">
      <c r="B351" s="37" t="str">
        <f>$C$349&amp;C351</f>
        <v>OCO</v>
      </c>
      <c r="C351" s="37" t="s">
        <v>120</v>
      </c>
      <c r="D351" s="37" t="s">
        <v>121</v>
      </c>
      <c r="E351" s="37"/>
      <c r="H351" s="37"/>
      <c r="I351" s="37">
        <f>I329-I339-I345</f>
        <v>6906.018877978393</v>
      </c>
      <c r="J351" s="37"/>
      <c r="L351" s="40">
        <f t="shared" si="115"/>
        <v>4696.3834809618102</v>
      </c>
      <c r="M351" s="40">
        <f t="shared" si="115"/>
        <v>0</v>
      </c>
      <c r="N351" s="40">
        <f t="shared" si="115"/>
        <v>2209.6353969789543</v>
      </c>
      <c r="O351" s="40">
        <f t="shared" si="115"/>
        <v>0</v>
      </c>
      <c r="P351" s="40">
        <f t="shared" si="115"/>
        <v>0</v>
      </c>
      <c r="Q351" s="40">
        <f t="shared" si="115"/>
        <v>0</v>
      </c>
    </row>
    <row r="352" spans="2:17" x14ac:dyDescent="0.2">
      <c r="B352" s="37" t="str">
        <f>$C$349&amp;C352</f>
        <v>OKP</v>
      </c>
      <c r="C352" s="37" t="s">
        <v>140</v>
      </c>
      <c r="D352" s="37" t="s">
        <v>108</v>
      </c>
      <c r="E352" s="37"/>
      <c r="H352" s="37"/>
      <c r="I352" s="37">
        <f>I330-I340-I346</f>
        <v>0</v>
      </c>
      <c r="J352" s="37"/>
      <c r="L352" s="37">
        <f t="shared" ref="L352:Q353" si="116">$I352/$J$331*L$331</f>
        <v>0</v>
      </c>
      <c r="M352" s="37">
        <f t="shared" si="116"/>
        <v>0</v>
      </c>
      <c r="N352" s="37">
        <f t="shared" si="116"/>
        <v>0</v>
      </c>
      <c r="O352" s="37">
        <f t="shared" si="116"/>
        <v>0</v>
      </c>
      <c r="P352" s="37">
        <f t="shared" si="116"/>
        <v>0</v>
      </c>
      <c r="Q352" s="37">
        <f t="shared" si="116"/>
        <v>0</v>
      </c>
    </row>
    <row r="353" spans="1:18" x14ac:dyDescent="0.2">
      <c r="B353" s="37" t="str">
        <f>$C$349&amp;C353</f>
        <v>OKO</v>
      </c>
      <c r="C353" s="37" t="s">
        <v>141</v>
      </c>
      <c r="D353" s="37" t="s">
        <v>109</v>
      </c>
      <c r="E353" s="37"/>
      <c r="H353" s="37"/>
      <c r="I353" s="37">
        <f>I331-I341-I347</f>
        <v>13358.093885811395</v>
      </c>
      <c r="J353" s="37"/>
      <c r="L353" s="37">
        <f t="shared" si="116"/>
        <v>12032.562584857156</v>
      </c>
      <c r="M353" s="37">
        <f t="shared" si="116"/>
        <v>0</v>
      </c>
      <c r="N353" s="37">
        <f t="shared" si="116"/>
        <v>1325.5313009542401</v>
      </c>
      <c r="O353" s="37">
        <f t="shared" si="116"/>
        <v>0</v>
      </c>
      <c r="P353" s="37">
        <f t="shared" si="116"/>
        <v>0</v>
      </c>
      <c r="Q353" s="37">
        <f t="shared" si="116"/>
        <v>0</v>
      </c>
    </row>
    <row r="354" spans="1:18" x14ac:dyDescent="0.2">
      <c r="C354" s="37"/>
      <c r="D354" s="37"/>
      <c r="E354" s="37"/>
      <c r="H354" s="37"/>
      <c r="I354" s="37"/>
      <c r="J354" s="37"/>
      <c r="L354" s="37"/>
      <c r="M354" s="37"/>
      <c r="N354" s="37"/>
      <c r="O354" s="37"/>
      <c r="P354" s="37"/>
      <c r="Q354" s="37"/>
    </row>
    <row r="355" spans="1:18" x14ac:dyDescent="0.2">
      <c r="C355" s="37"/>
      <c r="D355" s="37" t="s">
        <v>106</v>
      </c>
      <c r="E355" s="37"/>
      <c r="H355" s="44">
        <f>SUM(H337:H354)</f>
        <v>938342</v>
      </c>
      <c r="I355" s="44">
        <f>SUM(I337:I354)</f>
        <v>2503206</v>
      </c>
      <c r="J355" s="44"/>
      <c r="L355" s="44">
        <f t="shared" ref="L355:Q355" si="117">SUM(L337:L354)</f>
        <v>1849708.9999931995</v>
      </c>
      <c r="M355" s="44">
        <f t="shared" si="117"/>
        <v>0</v>
      </c>
      <c r="N355" s="44">
        <f t="shared" si="117"/>
        <v>653496.99999680044</v>
      </c>
      <c r="O355" s="44">
        <f t="shared" si="117"/>
        <v>0</v>
      </c>
      <c r="P355" s="44">
        <f t="shared" si="117"/>
        <v>0</v>
      </c>
      <c r="Q355" s="44">
        <f t="shared" si="117"/>
        <v>0</v>
      </c>
    </row>
    <row r="356" spans="1:18" x14ac:dyDescent="0.2">
      <c r="C356" s="37"/>
      <c r="D356" s="37" t="s">
        <v>132</v>
      </c>
      <c r="E356" s="37"/>
      <c r="H356" s="37">
        <f>H335-H355</f>
        <v>0</v>
      </c>
      <c r="I356" s="37">
        <f>I333-I355</f>
        <v>0</v>
      </c>
      <c r="J356" s="37"/>
      <c r="L356" s="37">
        <f t="shared" ref="L356:Q356" si="118">L333-L355</f>
        <v>6.8005174398422241E-6</v>
      </c>
      <c r="M356" s="37">
        <f t="shared" si="118"/>
        <v>0</v>
      </c>
      <c r="N356" s="37">
        <f t="shared" si="118"/>
        <v>3.1995587050914764E-6</v>
      </c>
      <c r="O356" s="37">
        <f t="shared" si="118"/>
        <v>0</v>
      </c>
      <c r="P356" s="37">
        <f t="shared" si="118"/>
        <v>0</v>
      </c>
      <c r="Q356" s="37">
        <f t="shared" si="118"/>
        <v>0</v>
      </c>
    </row>
    <row r="357" spans="1:18" x14ac:dyDescent="0.2"/>
    <row r="358" spans="1:18" x14ac:dyDescent="0.2">
      <c r="A358" s="16" t="s">
        <v>160</v>
      </c>
      <c r="B358" s="41" t="s">
        <v>160</v>
      </c>
      <c r="C358" s="41" t="s">
        <v>160</v>
      </c>
      <c r="D358" s="41" t="s">
        <v>160</v>
      </c>
      <c r="E358" s="41" t="s">
        <v>160</v>
      </c>
      <c r="F358" s="41" t="s">
        <v>160</v>
      </c>
      <c r="G358" s="41" t="s">
        <v>160</v>
      </c>
      <c r="H358" s="41" t="s">
        <v>160</v>
      </c>
      <c r="I358" s="41" t="s">
        <v>160</v>
      </c>
      <c r="J358" s="41" t="s">
        <v>160</v>
      </c>
      <c r="K358" s="41" t="s">
        <v>160</v>
      </c>
      <c r="L358" s="41" t="s">
        <v>160</v>
      </c>
      <c r="M358" s="41" t="s">
        <v>160</v>
      </c>
      <c r="N358" s="41" t="s">
        <v>160</v>
      </c>
      <c r="O358" s="41" t="s">
        <v>160</v>
      </c>
      <c r="P358" s="41" t="s">
        <v>160</v>
      </c>
      <c r="Q358" s="41" t="s">
        <v>160</v>
      </c>
      <c r="R358" s="41" t="s">
        <v>160</v>
      </c>
    </row>
  </sheetData>
  <sheetProtection selectLockedCells="1"/>
  <phoneticPr fontId="0" type="noConversion"/>
  <pageMargins left="0.25" right="0.25" top="0.75" bottom="0.75" header="0.5" footer="0.5"/>
  <pageSetup scale="90" orientation="landscape" r:id="rId1"/>
  <headerFooter alignWithMargins="0"/>
  <rowBreaks count="10" manualBreakCount="10">
    <brk id="34" max="16383" man="1"/>
    <brk id="70" max="16383" man="1"/>
    <brk id="106" max="16383" man="1"/>
    <brk id="142" max="16383" man="1"/>
    <brk id="178" max="16383" man="1"/>
    <brk id="214" max="16383" man="1"/>
    <brk id="250" max="16383" man="1"/>
    <brk id="286" max="16383" man="1"/>
    <brk id="322" max="16383" man="1"/>
    <brk id="3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9"/>
  <sheetViews>
    <sheetView workbookViewId="0">
      <selection activeCell="H27" sqref="H27"/>
    </sheetView>
  </sheetViews>
  <sheetFormatPr defaultColWidth="0" defaultRowHeight="12.75" zeroHeight="1" x14ac:dyDescent="0.2"/>
  <cols>
    <col min="1" max="1" width="9.140625" customWidth="1"/>
    <col min="2" max="2" width="3.28515625" customWidth="1"/>
    <col min="3" max="3" width="9.140625" customWidth="1"/>
    <col min="4" max="4" width="12.7109375" customWidth="1"/>
    <col min="5" max="9" width="9.140625" customWidth="1"/>
    <col min="10" max="10" width="13.28515625" customWidth="1"/>
    <col min="11" max="11" width="4.42578125" style="5" hidden="1" customWidth="1"/>
  </cols>
  <sheetData>
    <row r="1" spans="1:10" ht="15" x14ac:dyDescent="0.2">
      <c r="E1" s="16"/>
      <c r="F1" s="16"/>
      <c r="G1" s="16"/>
      <c r="H1" s="16"/>
      <c r="I1" s="16"/>
      <c r="J1" s="16"/>
    </row>
    <row r="2" spans="1:10" ht="18" customHeight="1" x14ac:dyDescent="0.25">
      <c r="E2" s="7" t="s">
        <v>180</v>
      </c>
      <c r="F2" s="21"/>
      <c r="G2" s="22"/>
      <c r="H2" s="22"/>
      <c r="I2" s="22"/>
      <c r="J2" s="21"/>
    </row>
    <row r="3" spans="1:10" ht="4.5" customHeight="1" thickBot="1" x14ac:dyDescent="0.25">
      <c r="E3" s="23"/>
      <c r="F3" s="23"/>
      <c r="G3" s="23"/>
      <c r="H3" s="23"/>
      <c r="I3" s="23"/>
      <c r="J3" s="23"/>
    </row>
    <row r="4" spans="1:10" ht="15.75" x14ac:dyDescent="0.25">
      <c r="E4" s="7" t="s">
        <v>181</v>
      </c>
      <c r="F4" s="21"/>
      <c r="G4" s="21"/>
      <c r="H4" s="21"/>
      <c r="I4" s="21"/>
      <c r="J4" s="21"/>
    </row>
    <row r="5" spans="1:10" ht="15" x14ac:dyDescent="0.2">
      <c r="E5" s="16"/>
      <c r="F5" s="16"/>
      <c r="G5" s="16"/>
      <c r="H5" s="16"/>
      <c r="I5" s="16"/>
      <c r="J5" s="16"/>
    </row>
    <row r="6" spans="1:10" ht="15" x14ac:dyDescent="0.2">
      <c r="E6" s="21" t="s">
        <v>182</v>
      </c>
      <c r="F6" s="21"/>
      <c r="G6" s="21"/>
      <c r="H6" s="21"/>
      <c r="I6" s="21"/>
      <c r="J6" s="21"/>
    </row>
    <row r="7" spans="1:10" ht="15" x14ac:dyDescent="0.2">
      <c r="E7" s="21" t="s">
        <v>183</v>
      </c>
      <c r="F7" s="21"/>
      <c r="G7" s="21"/>
      <c r="H7" s="21"/>
      <c r="I7" s="21"/>
      <c r="J7" s="21"/>
    </row>
    <row r="8" spans="1:10" ht="15" x14ac:dyDescent="0.2">
      <c r="E8" s="24" t="s">
        <v>184</v>
      </c>
      <c r="F8" s="21"/>
      <c r="G8" s="21"/>
      <c r="H8" s="21"/>
      <c r="I8" s="21"/>
      <c r="J8" s="21"/>
    </row>
    <row r="9" spans="1:10" ht="15" x14ac:dyDescent="0.2">
      <c r="B9" s="6"/>
      <c r="C9" s="6"/>
      <c r="D9" s="6"/>
      <c r="E9" s="16"/>
      <c r="F9" s="16"/>
      <c r="G9" s="16"/>
      <c r="H9" s="16"/>
      <c r="I9" s="16"/>
      <c r="J9" s="16"/>
    </row>
    <row r="10" spans="1:10" ht="15.75" x14ac:dyDescent="0.25">
      <c r="A10" s="26" t="s">
        <v>181</v>
      </c>
      <c r="B10" s="21"/>
      <c r="C10" s="21"/>
      <c r="D10" s="21"/>
      <c r="E10" s="16"/>
      <c r="F10" s="16"/>
      <c r="G10" s="16"/>
      <c r="H10" s="16"/>
      <c r="I10" s="16"/>
      <c r="J10" s="16"/>
    </row>
    <row r="11" spans="1:10" ht="15.75" x14ac:dyDescent="0.25">
      <c r="A11" s="26" t="s">
        <v>185</v>
      </c>
      <c r="B11" s="21"/>
      <c r="C11" s="21"/>
      <c r="D11" s="21"/>
      <c r="E11" s="16"/>
      <c r="F11" s="16"/>
      <c r="G11" s="16"/>
      <c r="H11" s="16"/>
      <c r="I11" s="25" t="str">
        <f ca="1">TEXT(MONTH(NOW()),0)&amp;"/"&amp;TEXT(DAY(NOW()),0)&amp;"/"&amp;RIGHT(TEXT(YEAR(NOW()),0),2)</f>
        <v>11/5/20</v>
      </c>
      <c r="J11" s="16"/>
    </row>
    <row r="12" spans="1:10" ht="15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5" x14ac:dyDescent="0.2">
      <c r="A13" s="16"/>
      <c r="B13" s="16" t="s">
        <v>191</v>
      </c>
      <c r="C13" s="16"/>
      <c r="D13" s="16"/>
      <c r="E13" s="16"/>
      <c r="F13" s="16"/>
      <c r="G13" s="16"/>
      <c r="H13" s="16"/>
      <c r="I13" s="16"/>
      <c r="J13" s="16"/>
    </row>
    <row r="14" spans="1:10" ht="15" x14ac:dyDescent="0.2">
      <c r="A14" s="16"/>
      <c r="B14" s="16" t="s">
        <v>192</v>
      </c>
      <c r="C14" s="16"/>
      <c r="D14" s="16"/>
      <c r="E14" s="16"/>
      <c r="F14" s="16"/>
      <c r="G14" s="16"/>
      <c r="H14" s="16"/>
      <c r="I14" s="16"/>
      <c r="J14" s="16"/>
    </row>
    <row r="15" spans="1:10" ht="15" x14ac:dyDescent="0.2">
      <c r="A15" s="16"/>
      <c r="B15" s="16" t="s">
        <v>229</v>
      </c>
      <c r="C15" s="16"/>
      <c r="D15" s="16"/>
      <c r="E15" s="16"/>
      <c r="F15" s="16"/>
      <c r="G15" s="16"/>
      <c r="H15" s="16"/>
      <c r="I15" s="16"/>
      <c r="J15" s="16"/>
    </row>
    <row r="16" spans="1:10" ht="15" x14ac:dyDescent="0.2">
      <c r="A16" s="16"/>
      <c r="B16" s="27" t="s">
        <v>193</v>
      </c>
      <c r="C16" s="16"/>
      <c r="D16" s="16"/>
      <c r="E16" s="16"/>
      <c r="F16" s="16"/>
      <c r="G16" s="16"/>
      <c r="H16" s="16"/>
      <c r="I16" s="16"/>
      <c r="J16" s="16"/>
    </row>
    <row r="17" spans="1:10" ht="15" x14ac:dyDescent="0.2">
      <c r="A17" s="16"/>
      <c r="B17" s="16" t="s">
        <v>194</v>
      </c>
      <c r="C17" s="16"/>
      <c r="D17" s="16"/>
      <c r="E17" s="16"/>
      <c r="F17" s="16"/>
      <c r="G17" s="16"/>
      <c r="H17" s="16"/>
      <c r="I17" s="16"/>
      <c r="J17" s="16"/>
    </row>
    <row r="18" spans="1:10" ht="15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15" x14ac:dyDescent="0.2">
      <c r="A19" s="16"/>
      <c r="B19" s="16" t="s">
        <v>195</v>
      </c>
      <c r="C19" s="16"/>
      <c r="D19" s="16"/>
      <c r="E19" s="16"/>
      <c r="F19" s="16"/>
      <c r="G19" s="16"/>
      <c r="H19" s="16"/>
      <c r="I19" s="16"/>
      <c r="J19" s="16"/>
    </row>
    <row r="20" spans="1:10" ht="15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15" x14ac:dyDescent="0.2">
      <c r="A21" s="16"/>
      <c r="B21" s="16" t="s">
        <v>232</v>
      </c>
      <c r="C21" s="16"/>
      <c r="D21" s="16"/>
      <c r="E21" s="16"/>
      <c r="F21" s="16"/>
      <c r="G21" s="16"/>
      <c r="H21" s="16"/>
      <c r="I21" s="16"/>
      <c r="J21" s="16"/>
    </row>
    <row r="22" spans="1:10" ht="15" x14ac:dyDescent="0.2">
      <c r="A22" s="16"/>
      <c r="B22" s="16" t="s">
        <v>186</v>
      </c>
      <c r="C22" s="16"/>
      <c r="D22" s="16"/>
      <c r="E22" s="16"/>
      <c r="F22" s="16"/>
      <c r="G22" s="16"/>
      <c r="H22" s="16"/>
      <c r="I22" s="16"/>
      <c r="J22" s="16"/>
    </row>
    <row r="23" spans="1:10" ht="15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15" x14ac:dyDescent="0.2">
      <c r="A24" s="16"/>
      <c r="B24" s="16" t="s">
        <v>187</v>
      </c>
      <c r="C24" s="16"/>
      <c r="D24" s="16"/>
      <c r="E24" s="16"/>
      <c r="F24" s="16"/>
      <c r="G24" s="16"/>
      <c r="H24" s="16"/>
      <c r="I24" s="16"/>
      <c r="J24" s="16"/>
    </row>
    <row r="25" spans="1:10" ht="15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5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15" x14ac:dyDescent="0.2">
      <c r="A27" s="16"/>
      <c r="B27" s="28"/>
      <c r="C27" s="28"/>
      <c r="D27" s="28"/>
      <c r="E27" s="28"/>
      <c r="F27" s="16"/>
      <c r="G27" s="16"/>
      <c r="H27" s="16"/>
      <c r="I27" s="16"/>
      <c r="J27" s="16"/>
    </row>
    <row r="28" spans="1:10" ht="15" x14ac:dyDescent="0.2">
      <c r="A28" s="16"/>
      <c r="B28" s="29" t="s">
        <v>188</v>
      </c>
      <c r="C28" s="29"/>
      <c r="D28" s="29"/>
      <c r="E28" s="16"/>
      <c r="F28" s="16"/>
      <c r="G28" s="16"/>
      <c r="H28" s="16"/>
      <c r="I28" s="16"/>
      <c r="J28" s="16"/>
    </row>
    <row r="29" spans="1:10" ht="15" x14ac:dyDescent="0.2">
      <c r="A29" s="16"/>
      <c r="B29" s="29" t="s">
        <v>189</v>
      </c>
      <c r="C29" s="29"/>
      <c r="D29" s="29"/>
      <c r="E29" s="16"/>
      <c r="F29" s="16"/>
      <c r="G29" s="16"/>
      <c r="H29" s="16"/>
      <c r="I29" s="16"/>
      <c r="J29" s="16"/>
    </row>
    <row r="30" spans="1:10" ht="15" x14ac:dyDescent="0.2">
      <c r="A30" s="16"/>
      <c r="B30" s="30" t="s">
        <v>190</v>
      </c>
      <c r="C30" s="29"/>
      <c r="D30" s="29"/>
      <c r="E30" s="16"/>
      <c r="F30" s="16"/>
      <c r="G30" s="16"/>
      <c r="H30" s="16"/>
      <c r="I30" s="16"/>
      <c r="J30" s="16"/>
    </row>
    <row r="32" spans="1:10" hidden="1" x14ac:dyDescent="0.2">
      <c r="B32" s="8"/>
    </row>
    <row r="33" spans="2:6" hidden="1" x14ac:dyDescent="0.2">
      <c r="B33" s="9"/>
    </row>
    <row r="40" spans="2:6" hidden="1" x14ac:dyDescent="0.2">
      <c r="B40" s="4"/>
      <c r="C40" s="4"/>
      <c r="D40" s="4"/>
      <c r="E40" s="4"/>
      <c r="F40" s="4"/>
    </row>
    <row r="41" spans="2:6" hidden="1" x14ac:dyDescent="0.2">
      <c r="B41" s="4"/>
      <c r="C41" s="4"/>
      <c r="D41" s="4"/>
      <c r="E41" s="4"/>
      <c r="F41" s="4"/>
    </row>
    <row r="42" spans="2:6" hidden="1" x14ac:dyDescent="0.2">
      <c r="B42" s="10"/>
      <c r="C42" s="4"/>
      <c r="D42" s="4"/>
      <c r="E42" s="4"/>
      <c r="F42" s="4"/>
    </row>
    <row r="59" spans="1:10" hidden="1" x14ac:dyDescent="0.2">
      <c r="A59" s="11" t="s">
        <v>178</v>
      </c>
      <c r="B59" s="11" t="s">
        <v>178</v>
      </c>
      <c r="C59" s="11" t="s">
        <v>178</v>
      </c>
      <c r="D59" s="11"/>
      <c r="E59" s="11" t="s">
        <v>178</v>
      </c>
      <c r="F59" s="11" t="s">
        <v>178</v>
      </c>
      <c r="G59" s="11" t="s">
        <v>178</v>
      </c>
      <c r="H59" s="11" t="s">
        <v>178</v>
      </c>
      <c r="I59" s="11" t="s">
        <v>178</v>
      </c>
      <c r="J59" s="11" t="s">
        <v>178</v>
      </c>
    </row>
  </sheetData>
  <phoneticPr fontId="0" type="noConversion"/>
  <pageMargins left="0.5" right="0.25" top="0.5" bottom="1" header="0.5" footer="0.5"/>
  <pageSetup scale="110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>
    <pageSetUpPr fitToPage="1"/>
  </sheetPr>
  <dimension ref="A1:O19"/>
  <sheetViews>
    <sheetView zoomScale="80" zoomScaleNormal="80" workbookViewId="0">
      <selection sqref="A1:K1"/>
    </sheetView>
  </sheetViews>
  <sheetFormatPr defaultColWidth="0" defaultRowHeight="12.75" zeroHeight="1" x14ac:dyDescent="0.2"/>
  <cols>
    <col min="1" max="1" width="3.7109375" style="76" customWidth="1"/>
    <col min="2" max="2" width="6.5703125" style="76" customWidth="1"/>
    <col min="3" max="4" width="3.7109375" style="76" customWidth="1"/>
    <col min="5" max="5" width="50.5703125" style="76" customWidth="1"/>
    <col min="6" max="6" width="18.5703125" style="76" customWidth="1"/>
    <col min="7" max="7" width="20.140625" style="76" customWidth="1"/>
    <col min="8" max="8" width="18" style="76" customWidth="1"/>
    <col min="9" max="9" width="24" style="76" customWidth="1"/>
    <col min="10" max="10" width="21.5703125" style="76" customWidth="1"/>
    <col min="11" max="11" width="15.7109375" customWidth="1"/>
    <col min="12" max="15" width="12.7109375" hidden="1" customWidth="1"/>
  </cols>
  <sheetData>
    <row r="1" spans="1:15" ht="42.75" customHeight="1" x14ac:dyDescent="0.2">
      <c r="A1" s="173" t="s">
        <v>199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5" ht="20.100000000000001" customHeight="1" x14ac:dyDescent="0.25">
      <c r="A2" s="47" t="s">
        <v>28</v>
      </c>
      <c r="B2" s="47"/>
      <c r="C2" s="47"/>
      <c r="D2" s="184" t="str">
        <f>'CSS Pgm 1'!E2</f>
        <v>Santa Cruz</v>
      </c>
      <c r="E2" s="184"/>
      <c r="F2" s="74"/>
      <c r="G2" s="74"/>
      <c r="H2" s="74"/>
      <c r="I2" s="74"/>
      <c r="J2" s="49" t="s">
        <v>29</v>
      </c>
      <c r="K2" s="50" t="str">
        <f>Worksheet!$N$2</f>
        <v>10/7/09</v>
      </c>
    </row>
    <row r="3" spans="1:15" ht="15" customHeight="1" x14ac:dyDescent="0.25">
      <c r="A3" s="73"/>
      <c r="B3" s="73"/>
      <c r="C3" s="73"/>
      <c r="D3" s="183"/>
      <c r="E3" s="183"/>
      <c r="F3" s="74"/>
      <c r="G3" s="74"/>
      <c r="H3" s="74"/>
      <c r="I3" s="74"/>
      <c r="J3" s="74"/>
      <c r="K3" s="74"/>
    </row>
    <row r="4" spans="1:15" ht="15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5" s="3" customFormat="1" ht="21.75" customHeight="1" x14ac:dyDescent="0.2">
      <c r="A5" s="174" t="s">
        <v>198</v>
      </c>
      <c r="B5" s="175"/>
      <c r="C5" s="175"/>
      <c r="D5" s="175"/>
      <c r="E5" s="176"/>
      <c r="F5" s="75" t="s">
        <v>19</v>
      </c>
      <c r="G5" s="75" t="s">
        <v>20</v>
      </c>
      <c r="H5" s="75" t="s">
        <v>27</v>
      </c>
      <c r="I5" s="75" t="s">
        <v>21</v>
      </c>
      <c r="J5" s="75" t="s">
        <v>22</v>
      </c>
      <c r="K5" s="75" t="s">
        <v>23</v>
      </c>
    </row>
    <row r="6" spans="1:15" s="3" customFormat="1" ht="15" customHeight="1" x14ac:dyDescent="0.2">
      <c r="A6" s="177"/>
      <c r="B6" s="178"/>
      <c r="C6" s="178"/>
      <c r="D6" s="178"/>
      <c r="E6" s="179"/>
      <c r="F6" s="171" t="s">
        <v>58</v>
      </c>
      <c r="G6" s="171" t="s">
        <v>53</v>
      </c>
      <c r="H6" s="171" t="s">
        <v>54</v>
      </c>
      <c r="I6" s="171" t="s">
        <v>56</v>
      </c>
      <c r="J6" s="171" t="s">
        <v>55</v>
      </c>
      <c r="K6" s="171" t="s">
        <v>57</v>
      </c>
    </row>
    <row r="7" spans="1:15" s="1" customFormat="1" ht="42" customHeight="1" x14ac:dyDescent="0.2">
      <c r="A7" s="180"/>
      <c r="B7" s="181"/>
      <c r="C7" s="181"/>
      <c r="D7" s="181"/>
      <c r="E7" s="182"/>
      <c r="F7" s="172"/>
      <c r="G7" s="172"/>
      <c r="H7" s="172"/>
      <c r="I7" s="172"/>
      <c r="J7" s="172"/>
      <c r="K7" s="172"/>
      <c r="L7" s="2"/>
      <c r="M7" s="2"/>
      <c r="N7" s="2"/>
      <c r="O7" s="2"/>
    </row>
    <row r="8" spans="1:15" ht="24.95" customHeight="1" x14ac:dyDescent="0.25">
      <c r="A8" s="51" t="s">
        <v>78</v>
      </c>
      <c r="B8" s="52"/>
      <c r="C8" s="52"/>
      <c r="D8" s="52"/>
      <c r="E8" s="53"/>
      <c r="F8" s="54"/>
      <c r="G8" s="54"/>
      <c r="H8" s="54"/>
      <c r="I8" s="54"/>
      <c r="J8" s="54"/>
      <c r="K8" s="54"/>
    </row>
    <row r="9" spans="1:15" ht="24.95" customHeight="1" x14ac:dyDescent="0.2">
      <c r="A9" s="55"/>
      <c r="B9" s="56" t="s">
        <v>77</v>
      </c>
      <c r="C9" s="56"/>
      <c r="D9" s="56"/>
      <c r="E9" s="57"/>
      <c r="F9" s="58"/>
      <c r="G9" s="58">
        <v>1340648</v>
      </c>
      <c r="H9" s="17"/>
      <c r="I9" s="17"/>
      <c r="J9" s="17"/>
      <c r="K9" s="58">
        <f>SUM(F9:J9)</f>
        <v>1340648</v>
      </c>
    </row>
    <row r="10" spans="1:15" ht="24.95" customHeight="1" x14ac:dyDescent="0.25">
      <c r="A10" s="51" t="s">
        <v>216</v>
      </c>
      <c r="B10" s="52"/>
      <c r="C10" s="52"/>
      <c r="D10" s="52"/>
      <c r="E10" s="53"/>
      <c r="F10" s="18"/>
      <c r="G10" s="18"/>
      <c r="H10" s="18"/>
      <c r="I10" s="18"/>
      <c r="J10" s="18"/>
      <c r="K10" s="54"/>
    </row>
    <row r="11" spans="1:15" ht="24.95" customHeight="1" x14ac:dyDescent="0.2">
      <c r="A11" s="60"/>
      <c r="B11" s="52" t="s">
        <v>64</v>
      </c>
      <c r="C11" s="52"/>
      <c r="D11" s="52"/>
      <c r="E11" s="53"/>
      <c r="F11" s="54"/>
      <c r="G11" s="54">
        <f>5525901-H11-J11</f>
        <v>4749901</v>
      </c>
      <c r="H11" s="54">
        <v>726000</v>
      </c>
      <c r="I11" s="18"/>
      <c r="J11" s="54">
        <v>50000</v>
      </c>
      <c r="K11" s="54">
        <f t="shared" ref="K11:K17" si="0">SUM(F11:J11)</f>
        <v>5525901</v>
      </c>
    </row>
    <row r="12" spans="1:15" ht="24.95" customHeight="1" x14ac:dyDescent="0.2">
      <c r="A12" s="60"/>
      <c r="B12" s="52" t="s">
        <v>65</v>
      </c>
      <c r="C12" s="52"/>
      <c r="D12" s="52"/>
      <c r="E12" s="53"/>
      <c r="F12" s="54"/>
      <c r="G12" s="54">
        <v>80957</v>
      </c>
      <c r="H12" s="54"/>
      <c r="I12" s="18"/>
      <c r="J12" s="54"/>
      <c r="K12" s="54">
        <f t="shared" si="0"/>
        <v>80957</v>
      </c>
    </row>
    <row r="13" spans="1:15" ht="24.95" customHeight="1" x14ac:dyDescent="0.2">
      <c r="A13" s="55"/>
      <c r="B13" s="61" t="s">
        <v>66</v>
      </c>
      <c r="C13" s="61"/>
      <c r="D13" s="56"/>
      <c r="E13" s="57"/>
      <c r="F13" s="58">
        <f>SUM(F11:F12)</f>
        <v>0</v>
      </c>
      <c r="G13" s="58">
        <f>SUM(G11:G12)</f>
        <v>4830858</v>
      </c>
      <c r="H13" s="59">
        <f>SUM(H11:H12)</f>
        <v>726000</v>
      </c>
      <c r="I13" s="17">
        <f>SUM(I11:I12)</f>
        <v>0</v>
      </c>
      <c r="J13" s="59">
        <f>SUM(J11:J12)</f>
        <v>50000</v>
      </c>
      <c r="K13" s="58">
        <f t="shared" si="0"/>
        <v>5606858</v>
      </c>
    </row>
    <row r="14" spans="1:15" ht="24.95" customHeight="1" x14ac:dyDescent="0.25">
      <c r="A14" s="62" t="s">
        <v>217</v>
      </c>
      <c r="B14" s="63"/>
      <c r="C14" s="63"/>
      <c r="D14" s="63"/>
      <c r="E14" s="64"/>
      <c r="F14" s="65">
        <f>'County Summary'!G9</f>
        <v>0</v>
      </c>
      <c r="G14" s="65">
        <f>'County Summary'!G10</f>
        <v>3984349.0000860561</v>
      </c>
      <c r="H14" s="66">
        <f>'County Summary'!G11</f>
        <v>6201</v>
      </c>
      <c r="I14" s="19"/>
      <c r="J14" s="66">
        <f>'County Summary'!G13</f>
        <v>11601</v>
      </c>
      <c r="K14" s="65">
        <f t="shared" si="0"/>
        <v>4002151.0000860561</v>
      </c>
    </row>
    <row r="15" spans="1:15" ht="24.95" customHeight="1" x14ac:dyDescent="0.25">
      <c r="A15" s="62" t="s">
        <v>218</v>
      </c>
      <c r="B15" s="63"/>
      <c r="C15" s="63"/>
      <c r="D15" s="63"/>
      <c r="E15" s="64"/>
      <c r="F15" s="19"/>
      <c r="G15" s="65">
        <v>550132</v>
      </c>
      <c r="H15" s="19"/>
      <c r="I15" s="19"/>
      <c r="J15" s="19"/>
      <c r="K15" s="65">
        <f t="shared" si="0"/>
        <v>550132</v>
      </c>
    </row>
    <row r="16" spans="1:15" ht="24.95" customHeight="1" x14ac:dyDescent="0.25">
      <c r="A16" s="51" t="s">
        <v>72</v>
      </c>
      <c r="B16" s="52"/>
      <c r="C16" s="52"/>
      <c r="D16" s="52"/>
      <c r="E16" s="53"/>
      <c r="F16" s="54"/>
      <c r="G16" s="18"/>
      <c r="H16" s="18"/>
      <c r="I16" s="18"/>
      <c r="J16" s="18"/>
      <c r="K16" s="54">
        <f t="shared" si="0"/>
        <v>0</v>
      </c>
    </row>
    <row r="17" spans="1:11" ht="24.95" customHeight="1" x14ac:dyDescent="0.25">
      <c r="A17" s="67" t="s">
        <v>76</v>
      </c>
      <c r="B17" s="68"/>
      <c r="C17" s="68"/>
      <c r="D17" s="68"/>
      <c r="E17" s="69"/>
      <c r="F17" s="70">
        <f>F9+F13-F14-F15-F16</f>
        <v>0</v>
      </c>
      <c r="G17" s="70">
        <f>G9+G13-G14-G15-G16</f>
        <v>1637024.9999139439</v>
      </c>
      <c r="H17" s="71">
        <f>H9+H13-H14-H15-H16</f>
        <v>719799</v>
      </c>
      <c r="I17" s="20">
        <f>I9+I13-I14-I15-I16</f>
        <v>0</v>
      </c>
      <c r="J17" s="70">
        <f>J9+J13-J14-J15-J16</f>
        <v>38399</v>
      </c>
      <c r="K17" s="70">
        <f t="shared" si="0"/>
        <v>2395222.9999139439</v>
      </c>
    </row>
    <row r="18" spans="1:11" ht="15" x14ac:dyDescent="0.2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1:11" ht="15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2">
        <f>3165916-550132</f>
        <v>2615784</v>
      </c>
    </row>
  </sheetData>
  <sheetProtection sheet="1" objects="1" scenarios="1" selectLockedCells="1"/>
  <mergeCells count="10">
    <mergeCell ref="I6:I7"/>
    <mergeCell ref="J6:J7"/>
    <mergeCell ref="K6:K7"/>
    <mergeCell ref="A1:K1"/>
    <mergeCell ref="H6:H7"/>
    <mergeCell ref="F6:F7"/>
    <mergeCell ref="A5:E7"/>
    <mergeCell ref="G6:G7"/>
    <mergeCell ref="D3:E3"/>
    <mergeCell ref="D2:E2"/>
  </mergeCells>
  <phoneticPr fontId="0" type="noConversion"/>
  <printOptions horizontalCentered="1"/>
  <pageMargins left="0.5" right="0.5" top="0.75" bottom="0.75" header="0.5" footer="0.5"/>
  <pageSetup scale="64" orientation="portrait" r:id="rId1"/>
  <headerFooter alignWithMargins="0">
    <oddHeader>&amp;REnclosure 2</oddHeader>
    <oddFooter>&amp;LPage 21&amp;Rver 3 (12/2007)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0">
    <pageSetUpPr fitToPage="1"/>
  </sheetPr>
  <dimension ref="A1:R25"/>
  <sheetViews>
    <sheetView zoomScale="80" zoomScaleNormal="80" workbookViewId="0">
      <selection sqref="A1:O1"/>
    </sheetView>
  </sheetViews>
  <sheetFormatPr defaultColWidth="0" defaultRowHeight="12.75" zeroHeight="1" x14ac:dyDescent="0.2"/>
  <cols>
    <col min="1" max="1" width="5.140625" customWidth="1"/>
    <col min="2" max="2" width="5.85546875" customWidth="1"/>
    <col min="3" max="4" width="3.7109375" customWidth="1"/>
    <col min="5" max="5" width="44.5703125" customWidth="1"/>
    <col min="6" max="6" width="16.7109375" customWidth="1"/>
    <col min="7" max="7" width="12.7109375" customWidth="1"/>
    <col min="8" max="8" width="18.42578125" customWidth="1"/>
    <col min="9" max="9" width="16.28515625" customWidth="1"/>
    <col min="10" max="10" width="15" customWidth="1"/>
    <col min="11" max="11" width="16" customWidth="1"/>
    <col min="12" max="12" width="17.85546875" customWidth="1"/>
    <col min="13" max="13" width="16.85546875" customWidth="1"/>
    <col min="14" max="14" width="16.28515625" customWidth="1"/>
    <col min="15" max="15" width="14" customWidth="1"/>
    <col min="16" max="16" width="16.85546875" style="13" customWidth="1"/>
    <col min="17" max="17" width="15" style="13" customWidth="1"/>
    <col min="18" max="18" width="17" style="13" customWidth="1"/>
  </cols>
  <sheetData>
    <row r="1" spans="1:18" ht="45" customHeight="1" x14ac:dyDescent="0.2">
      <c r="A1" s="173" t="s">
        <v>200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99"/>
      <c r="Q1" s="99"/>
      <c r="R1" s="99"/>
    </row>
    <row r="2" spans="1:18" ht="20.100000000000001" customHeight="1" x14ac:dyDescent="0.25">
      <c r="A2" s="47" t="s">
        <v>28</v>
      </c>
      <c r="B2" s="47"/>
      <c r="C2" s="102"/>
      <c r="D2" s="184" t="str">
        <f>'CSS Pgm 1'!E2</f>
        <v>Santa Cruz</v>
      </c>
      <c r="E2" s="184"/>
      <c r="F2" s="74"/>
      <c r="G2" s="74"/>
      <c r="H2" s="74"/>
      <c r="I2" s="74"/>
      <c r="J2" s="74"/>
      <c r="K2" s="74"/>
      <c r="L2" s="74"/>
      <c r="M2" s="74"/>
      <c r="N2" s="49" t="s">
        <v>29</v>
      </c>
      <c r="O2" s="78" t="str">
        <f>Worksheet!$N$2</f>
        <v>10/7/09</v>
      </c>
      <c r="P2" s="99"/>
      <c r="Q2" s="99"/>
      <c r="R2" s="99"/>
    </row>
    <row r="3" spans="1:18" ht="15" customHeight="1" x14ac:dyDescent="0.25">
      <c r="A3" s="73"/>
      <c r="B3" s="73"/>
      <c r="C3" s="73"/>
      <c r="D3" s="183"/>
      <c r="E3" s="183"/>
      <c r="F3" s="74"/>
      <c r="G3" s="74"/>
      <c r="H3" s="74"/>
      <c r="I3" s="74"/>
      <c r="J3" s="74"/>
      <c r="K3" s="74"/>
      <c r="L3" s="74"/>
      <c r="M3" s="74"/>
      <c r="N3" s="74"/>
      <c r="O3" s="74"/>
      <c r="P3" s="99"/>
      <c r="Q3" s="99"/>
      <c r="R3" s="99"/>
    </row>
    <row r="4" spans="1:18" ht="15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99"/>
      <c r="Q4" s="99"/>
      <c r="R4" s="99"/>
    </row>
    <row r="5" spans="1:18" s="3" customFormat="1" ht="19.5" customHeight="1" x14ac:dyDescent="0.25">
      <c r="A5" s="193"/>
      <c r="B5" s="194"/>
      <c r="C5" s="194"/>
      <c r="D5" s="194"/>
      <c r="E5" s="195"/>
      <c r="F5" s="75" t="s">
        <v>19</v>
      </c>
      <c r="G5" s="101" t="s">
        <v>20</v>
      </c>
      <c r="H5" s="101" t="s">
        <v>27</v>
      </c>
      <c r="I5" s="101" t="s">
        <v>21</v>
      </c>
      <c r="J5" s="101" t="s">
        <v>22</v>
      </c>
      <c r="K5" s="101" t="s">
        <v>23</v>
      </c>
      <c r="L5" s="101" t="s">
        <v>24</v>
      </c>
      <c r="M5" s="101" t="s">
        <v>25</v>
      </c>
      <c r="N5" s="101" t="s">
        <v>26</v>
      </c>
      <c r="O5" s="101" t="s">
        <v>63</v>
      </c>
      <c r="P5" s="100"/>
      <c r="Q5" s="100"/>
      <c r="R5" s="100"/>
    </row>
    <row r="6" spans="1:18" s="3" customFormat="1" ht="15" customHeight="1" x14ac:dyDescent="0.25">
      <c r="A6" s="196"/>
      <c r="B6" s="197"/>
      <c r="C6" s="197"/>
      <c r="D6" s="197"/>
      <c r="E6" s="198"/>
      <c r="F6" s="171" t="s">
        <v>6</v>
      </c>
      <c r="G6" s="190" t="s">
        <v>36</v>
      </c>
      <c r="H6" s="191"/>
      <c r="I6" s="191"/>
      <c r="J6" s="191"/>
      <c r="K6" s="191"/>
      <c r="L6" s="191"/>
      <c r="M6" s="191"/>
      <c r="N6" s="191"/>
      <c r="O6" s="192"/>
      <c r="P6" s="100"/>
      <c r="Q6" s="100"/>
      <c r="R6" s="100"/>
    </row>
    <row r="7" spans="1:18" s="1" customFormat="1" ht="42" customHeight="1" x14ac:dyDescent="0.2">
      <c r="A7" s="199"/>
      <c r="B7" s="184"/>
      <c r="C7" s="184"/>
      <c r="D7" s="184"/>
      <c r="E7" s="200"/>
      <c r="F7" s="172"/>
      <c r="G7" s="97" t="s">
        <v>0</v>
      </c>
      <c r="H7" s="97" t="s">
        <v>35</v>
      </c>
      <c r="I7" s="97" t="s">
        <v>18</v>
      </c>
      <c r="J7" s="97" t="s">
        <v>1</v>
      </c>
      <c r="K7" s="97" t="s">
        <v>15</v>
      </c>
      <c r="L7" s="97" t="s">
        <v>16</v>
      </c>
      <c r="M7" s="97" t="s">
        <v>2</v>
      </c>
      <c r="N7" s="97" t="s">
        <v>17</v>
      </c>
      <c r="O7" s="97" t="s">
        <v>62</v>
      </c>
      <c r="P7" s="98" t="s">
        <v>235</v>
      </c>
      <c r="Q7" s="98" t="s">
        <v>236</v>
      </c>
      <c r="R7" s="98" t="s">
        <v>106</v>
      </c>
    </row>
    <row r="8" spans="1:18" ht="24.95" customHeight="1" x14ac:dyDescent="0.2">
      <c r="A8" s="185" t="s">
        <v>68</v>
      </c>
      <c r="B8" s="186"/>
      <c r="C8" s="186"/>
      <c r="D8" s="186"/>
      <c r="E8" s="187"/>
      <c r="F8" s="80"/>
      <c r="G8" s="80"/>
      <c r="H8" s="80"/>
      <c r="I8" s="80"/>
      <c r="J8" s="80"/>
      <c r="K8" s="80"/>
      <c r="L8" s="80"/>
      <c r="M8" s="80"/>
      <c r="N8" s="80"/>
      <c r="O8" s="80"/>
      <c r="P8" s="77">
        <f t="shared" ref="P8:P17" si="0">SUM(G8:O8)</f>
        <v>0</v>
      </c>
      <c r="Q8" s="77" t="b">
        <f t="shared" ref="Q8:Q17" si="1">EXACT(P8,R8)</f>
        <v>1</v>
      </c>
      <c r="R8" s="77">
        <f t="shared" ref="R8:R17" si="2">F8</f>
        <v>0</v>
      </c>
    </row>
    <row r="9" spans="1:18" ht="24.95" customHeight="1" x14ac:dyDescent="0.2">
      <c r="A9" s="81">
        <v>1</v>
      </c>
      <c r="B9" s="82" t="s">
        <v>58</v>
      </c>
      <c r="C9" s="82"/>
      <c r="D9" s="82"/>
      <c r="E9" s="83"/>
      <c r="F9" s="54">
        <f>CPP!F11</f>
        <v>0</v>
      </c>
      <c r="G9" s="54">
        <f>CPP!G11</f>
        <v>0</v>
      </c>
      <c r="H9" s="54">
        <f>CPP!H11</f>
        <v>0</v>
      </c>
      <c r="I9" s="54">
        <f>CPP!I11</f>
        <v>0</v>
      </c>
      <c r="J9" s="54">
        <f>CPP!J11</f>
        <v>0</v>
      </c>
      <c r="K9" s="54">
        <f>CPP!K11</f>
        <v>0</v>
      </c>
      <c r="L9" s="54">
        <f>CPP!L11</f>
        <v>0</v>
      </c>
      <c r="M9" s="54">
        <f>CPP!M11</f>
        <v>0</v>
      </c>
      <c r="N9" s="54">
        <f>CPP!N11</f>
        <v>0</v>
      </c>
      <c r="O9" s="54">
        <f>CPP!O11</f>
        <v>0</v>
      </c>
      <c r="P9" s="77">
        <f t="shared" si="0"/>
        <v>0</v>
      </c>
      <c r="Q9" s="77" t="b">
        <f t="shared" si="1"/>
        <v>1</v>
      </c>
      <c r="R9" s="77">
        <f t="shared" si="2"/>
        <v>0</v>
      </c>
    </row>
    <row r="10" spans="1:18" ht="24.95" customHeight="1" x14ac:dyDescent="0.2">
      <c r="A10" s="81">
        <v>2</v>
      </c>
      <c r="B10" s="188" t="s">
        <v>53</v>
      </c>
      <c r="C10" s="188"/>
      <c r="D10" s="188"/>
      <c r="E10" s="189"/>
      <c r="F10" s="54">
        <f>'CSS Summary'!F54</f>
        <v>6040705.00000004</v>
      </c>
      <c r="G10" s="54">
        <f>'CSS Summary'!G54</f>
        <v>3984349.0000860561</v>
      </c>
      <c r="H10" s="54">
        <f>'CSS Summary'!H54</f>
        <v>243721.99996448401</v>
      </c>
      <c r="I10" s="54">
        <f>'CSS Summary'!I54</f>
        <v>0</v>
      </c>
      <c r="J10" s="54">
        <f>'CSS Summary'!J54</f>
        <v>1812633.9999494997</v>
      </c>
      <c r="K10" s="54">
        <f>'CSS Summary'!K54</f>
        <v>0</v>
      </c>
      <c r="L10" s="54">
        <f>'CSS Summary'!L54</f>
        <v>0</v>
      </c>
      <c r="M10" s="54">
        <f>'CSS Summary'!M54</f>
        <v>0</v>
      </c>
      <c r="N10" s="54">
        <f>'CSS Summary'!N54</f>
        <v>0</v>
      </c>
      <c r="O10" s="54">
        <f>'CSS Summary'!O54</f>
        <v>0</v>
      </c>
      <c r="P10" s="77">
        <f t="shared" si="0"/>
        <v>6040705.00000004</v>
      </c>
      <c r="Q10" s="77" t="b">
        <f t="shared" si="1"/>
        <v>1</v>
      </c>
      <c r="R10" s="77">
        <f t="shared" si="2"/>
        <v>6040705.00000004</v>
      </c>
    </row>
    <row r="11" spans="1:18" ht="24.95" customHeight="1" x14ac:dyDescent="0.2">
      <c r="A11" s="81">
        <v>3</v>
      </c>
      <c r="B11" s="188" t="s">
        <v>54</v>
      </c>
      <c r="C11" s="188"/>
      <c r="D11" s="188"/>
      <c r="E11" s="189"/>
      <c r="F11" s="54">
        <f>'WET Summary'!F22</f>
        <v>24340</v>
      </c>
      <c r="G11" s="54">
        <f>'WET Summary'!G22</f>
        <v>6201</v>
      </c>
      <c r="H11" s="54">
        <f>'WET Summary'!H22</f>
        <v>0</v>
      </c>
      <c r="I11" s="54">
        <f>'WET Summary'!I22</f>
        <v>0</v>
      </c>
      <c r="J11" s="54">
        <f>'WET Summary'!J22</f>
        <v>18139</v>
      </c>
      <c r="K11" s="54">
        <f>'WET Summary'!K22</f>
        <v>0</v>
      </c>
      <c r="L11" s="54">
        <f>'WET Summary'!L22</f>
        <v>0</v>
      </c>
      <c r="M11" s="54">
        <f>'WET Summary'!M22</f>
        <v>0</v>
      </c>
      <c r="N11" s="54">
        <f>'WET Summary'!N22</f>
        <v>0</v>
      </c>
      <c r="O11" s="54">
        <f>'WET Summary'!O22</f>
        <v>0</v>
      </c>
      <c r="P11" s="77">
        <f t="shared" si="0"/>
        <v>24340</v>
      </c>
      <c r="Q11" s="77" t="b">
        <f t="shared" si="1"/>
        <v>1</v>
      </c>
      <c r="R11" s="77">
        <f t="shared" si="2"/>
        <v>24340</v>
      </c>
    </row>
    <row r="12" spans="1:18" ht="24.95" customHeight="1" x14ac:dyDescent="0.2">
      <c r="A12" s="81">
        <v>4</v>
      </c>
      <c r="B12" s="188" t="s">
        <v>56</v>
      </c>
      <c r="C12" s="188"/>
      <c r="D12" s="188"/>
      <c r="E12" s="189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77">
        <f t="shared" si="0"/>
        <v>0</v>
      </c>
      <c r="Q12" s="77" t="b">
        <f t="shared" si="1"/>
        <v>1</v>
      </c>
      <c r="R12" s="77">
        <f t="shared" si="2"/>
        <v>0</v>
      </c>
    </row>
    <row r="13" spans="1:18" ht="24.95" customHeight="1" x14ac:dyDescent="0.2">
      <c r="A13" s="81">
        <v>5</v>
      </c>
      <c r="B13" s="188" t="s">
        <v>55</v>
      </c>
      <c r="C13" s="188"/>
      <c r="D13" s="188"/>
      <c r="E13" s="189"/>
      <c r="F13" s="84">
        <f>PEI!F10</f>
        <v>46229</v>
      </c>
      <c r="G13" s="84">
        <f>PEI!G10</f>
        <v>11601</v>
      </c>
      <c r="H13" s="84">
        <f>PEI!H10</f>
        <v>0</v>
      </c>
      <c r="I13" s="84">
        <f>PEI!I10</f>
        <v>0</v>
      </c>
      <c r="J13" s="84">
        <f>PEI!J10</f>
        <v>34628</v>
      </c>
      <c r="K13" s="84">
        <f>PEI!K10</f>
        <v>0</v>
      </c>
      <c r="L13" s="84">
        <f>PEI!L10</f>
        <v>0</v>
      </c>
      <c r="M13" s="84">
        <f>PEI!M10</f>
        <v>0</v>
      </c>
      <c r="N13" s="84">
        <f>PEI!N10</f>
        <v>0</v>
      </c>
      <c r="O13" s="84">
        <f>PEI!O10</f>
        <v>0</v>
      </c>
      <c r="P13" s="77">
        <f t="shared" si="0"/>
        <v>46229</v>
      </c>
      <c r="Q13" s="77" t="b">
        <f t="shared" si="1"/>
        <v>1</v>
      </c>
      <c r="R13" s="77">
        <f t="shared" si="2"/>
        <v>46229</v>
      </c>
    </row>
    <row r="14" spans="1:18" ht="24.95" customHeight="1" x14ac:dyDescent="0.2">
      <c r="A14" s="85"/>
      <c r="B14" s="56" t="s">
        <v>69</v>
      </c>
      <c r="C14" s="56"/>
      <c r="D14" s="56"/>
      <c r="E14" s="57"/>
      <c r="F14" s="58">
        <f>SUM(F10:F13)</f>
        <v>6111274.00000004</v>
      </c>
      <c r="G14" s="58">
        <f t="shared" ref="G14:O14" si="3">SUM(G10:G13)</f>
        <v>4002151.0000860561</v>
      </c>
      <c r="H14" s="58">
        <f t="shared" si="3"/>
        <v>243721.99996448401</v>
      </c>
      <c r="I14" s="58">
        <f t="shared" si="3"/>
        <v>0</v>
      </c>
      <c r="J14" s="58">
        <f t="shared" si="3"/>
        <v>1865400.9999494997</v>
      </c>
      <c r="K14" s="58">
        <f t="shared" si="3"/>
        <v>0</v>
      </c>
      <c r="L14" s="58">
        <f t="shared" si="3"/>
        <v>0</v>
      </c>
      <c r="M14" s="58">
        <f t="shared" si="3"/>
        <v>0</v>
      </c>
      <c r="N14" s="58">
        <f t="shared" si="3"/>
        <v>0</v>
      </c>
      <c r="O14" s="58">
        <f t="shared" si="3"/>
        <v>0</v>
      </c>
      <c r="P14" s="77">
        <f t="shared" si="0"/>
        <v>6111274.00000004</v>
      </c>
      <c r="Q14" s="77" t="b">
        <f t="shared" si="1"/>
        <v>1</v>
      </c>
      <c r="R14" s="77">
        <f t="shared" si="2"/>
        <v>6111274.00000004</v>
      </c>
    </row>
    <row r="15" spans="1:18" ht="24.95" customHeight="1" x14ac:dyDescent="0.25">
      <c r="A15" s="86" t="s">
        <v>71</v>
      </c>
      <c r="B15" s="87"/>
      <c r="C15" s="87"/>
      <c r="D15" s="87"/>
      <c r="E15" s="88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77">
        <f t="shared" si="0"/>
        <v>0</v>
      </c>
      <c r="Q15" s="77" t="b">
        <f t="shared" si="1"/>
        <v>1</v>
      </c>
      <c r="R15" s="77">
        <f t="shared" si="2"/>
        <v>0</v>
      </c>
    </row>
    <row r="16" spans="1:18" s="12" customFormat="1" ht="24.95" customHeight="1" x14ac:dyDescent="0.25">
      <c r="A16" s="89"/>
      <c r="B16" s="90" t="s">
        <v>75</v>
      </c>
      <c r="C16" s="90"/>
      <c r="D16" s="90"/>
      <c r="E16" s="91"/>
      <c r="F16" s="92">
        <f>F21-F14</f>
        <v>40541792.949733347</v>
      </c>
      <c r="G16" s="92"/>
      <c r="H16" s="92">
        <f>H21-H14</f>
        <v>7121594.000035516</v>
      </c>
      <c r="I16" s="92"/>
      <c r="J16" s="92">
        <f t="shared" ref="J16:O16" si="4">J21-J14</f>
        <v>14760079.0000505</v>
      </c>
      <c r="K16" s="92">
        <f t="shared" si="4"/>
        <v>524000</v>
      </c>
      <c r="L16" s="92">
        <f t="shared" si="4"/>
        <v>953414</v>
      </c>
      <c r="M16" s="92">
        <f t="shared" si="4"/>
        <v>6664076.763852682</v>
      </c>
      <c r="N16" s="92">
        <f t="shared" si="4"/>
        <v>8495618.2673546635</v>
      </c>
      <c r="O16" s="92">
        <f t="shared" si="4"/>
        <v>2023008.3127751723</v>
      </c>
      <c r="P16" s="93">
        <f t="shared" si="0"/>
        <v>40541790.344068535</v>
      </c>
      <c r="Q16" s="93" t="b">
        <f t="shared" si="1"/>
        <v>0</v>
      </c>
      <c r="R16" s="93">
        <f t="shared" si="2"/>
        <v>40541792.949733347</v>
      </c>
    </row>
    <row r="17" spans="1:18" ht="24.95" customHeight="1" x14ac:dyDescent="0.25">
      <c r="A17" s="67" t="s">
        <v>70</v>
      </c>
      <c r="B17" s="68"/>
      <c r="C17" s="68"/>
      <c r="D17" s="68"/>
      <c r="E17" s="69"/>
      <c r="F17" s="70">
        <f>F14+F16</f>
        <v>46653066.949733384</v>
      </c>
      <c r="G17" s="70">
        <f t="shared" ref="G17:O17" si="5">G14+G16</f>
        <v>4002151.0000860561</v>
      </c>
      <c r="H17" s="70">
        <f t="shared" si="5"/>
        <v>7365316</v>
      </c>
      <c r="I17" s="70">
        <f t="shared" si="5"/>
        <v>0</v>
      </c>
      <c r="J17" s="70">
        <f t="shared" si="5"/>
        <v>16625480</v>
      </c>
      <c r="K17" s="70">
        <f t="shared" si="5"/>
        <v>524000</v>
      </c>
      <c r="L17" s="70">
        <f t="shared" si="5"/>
        <v>953414</v>
      </c>
      <c r="M17" s="70">
        <f t="shared" si="5"/>
        <v>6664076.763852682</v>
      </c>
      <c r="N17" s="70">
        <f t="shared" si="5"/>
        <v>8495618.2673546635</v>
      </c>
      <c r="O17" s="70">
        <f t="shared" si="5"/>
        <v>2023008.3127751723</v>
      </c>
      <c r="P17" s="77">
        <f t="shared" si="0"/>
        <v>46653064.344068579</v>
      </c>
      <c r="Q17" s="77" t="b">
        <f t="shared" si="1"/>
        <v>0</v>
      </c>
      <c r="R17" s="77">
        <f t="shared" si="2"/>
        <v>46653066.949733384</v>
      </c>
    </row>
    <row r="18" spans="1:18" ht="15" x14ac:dyDescent="0.2">
      <c r="A18" s="48"/>
      <c r="B18" s="48"/>
      <c r="C18" s="48"/>
      <c r="D18" s="74"/>
      <c r="E18" s="74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99"/>
      <c r="Q18" s="99"/>
      <c r="R18" s="99"/>
    </row>
    <row r="19" spans="1:18" ht="15" x14ac:dyDescent="0.2">
      <c r="A19" s="48"/>
      <c r="B19" s="48"/>
      <c r="C19" s="48"/>
      <c r="D19" s="74"/>
      <c r="E19" s="74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99"/>
      <c r="Q19" s="99"/>
      <c r="R19" s="99"/>
    </row>
    <row r="20" spans="1:18" ht="15" x14ac:dyDescent="0.2">
      <c r="A20" s="48"/>
      <c r="B20" s="48"/>
      <c r="C20" s="48"/>
      <c r="D20" s="74"/>
      <c r="E20" s="74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99"/>
      <c r="Q20" s="99"/>
      <c r="R20" s="99"/>
    </row>
    <row r="21" spans="1:18" ht="15" x14ac:dyDescent="0.2">
      <c r="A21" s="48"/>
      <c r="B21" s="48" t="s">
        <v>215</v>
      </c>
      <c r="C21" s="48"/>
      <c r="D21" s="74"/>
      <c r="E21" s="74"/>
      <c r="F21" s="94">
        <v>46653066.949733384</v>
      </c>
      <c r="G21" s="94">
        <v>4002153.605750863</v>
      </c>
      <c r="H21" s="94">
        <f>399938+988587+5776791+200000</f>
        <v>7365316</v>
      </c>
      <c r="I21" s="94"/>
      <c r="J21" s="95">
        <v>16625480</v>
      </c>
      <c r="K21" s="94">
        <v>524000</v>
      </c>
      <c r="L21" s="94">
        <v>953414</v>
      </c>
      <c r="M21" s="94">
        <v>6664076.763852682</v>
      </c>
      <c r="N21" s="94">
        <v>8495618.2673546635</v>
      </c>
      <c r="O21" s="94">
        <f>F21-SUM(G21:N21)</f>
        <v>2023008.3127751723</v>
      </c>
      <c r="P21" s="99"/>
      <c r="Q21" s="99"/>
      <c r="R21" s="99"/>
    </row>
    <row r="22" spans="1:18" ht="15" x14ac:dyDescent="0.2">
      <c r="A22" s="48"/>
      <c r="B22" s="48"/>
      <c r="C22" s="48"/>
      <c r="D22" s="74"/>
      <c r="E22" s="74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99"/>
      <c r="Q22" s="99"/>
      <c r="R22" s="99"/>
    </row>
    <row r="23" spans="1:18" ht="15" x14ac:dyDescent="0.2">
      <c r="A23" s="48"/>
      <c r="B23" s="48"/>
      <c r="C23" s="48"/>
      <c r="D23" s="74"/>
      <c r="E23" s="74"/>
      <c r="F23" s="48"/>
      <c r="G23" s="48"/>
      <c r="H23" s="48"/>
      <c r="I23" s="48"/>
      <c r="J23" s="94">
        <v>16131254.4106954</v>
      </c>
      <c r="K23" s="48" t="s">
        <v>233</v>
      </c>
      <c r="L23" s="48"/>
      <c r="M23" s="48"/>
      <c r="N23" s="48"/>
      <c r="O23" s="48"/>
      <c r="P23" s="99"/>
      <c r="Q23" s="99"/>
      <c r="R23" s="99"/>
    </row>
    <row r="24" spans="1:18" ht="15" x14ac:dyDescent="0.2">
      <c r="A24" s="48"/>
      <c r="B24" s="48"/>
      <c r="C24" s="48"/>
      <c r="D24" s="74"/>
      <c r="E24" s="74"/>
      <c r="F24" s="48"/>
      <c r="G24" s="48"/>
      <c r="H24" s="48"/>
      <c r="I24" s="48"/>
      <c r="J24" s="96">
        <v>494225.72130447207</v>
      </c>
      <c r="K24" s="48" t="s">
        <v>234</v>
      </c>
      <c r="L24" s="48"/>
      <c r="M24" s="48"/>
      <c r="N24" s="48"/>
      <c r="O24" s="48"/>
      <c r="P24" s="99"/>
      <c r="Q24" s="99"/>
      <c r="R24" s="99"/>
    </row>
    <row r="25" spans="1:18" ht="15" x14ac:dyDescent="0.2">
      <c r="A25" s="48"/>
      <c r="B25" s="48"/>
      <c r="C25" s="48"/>
      <c r="D25" s="74"/>
      <c r="E25" s="74"/>
      <c r="F25" s="48"/>
      <c r="G25" s="48"/>
      <c r="H25" s="48"/>
      <c r="I25" s="48"/>
      <c r="J25" s="94">
        <v>16625480</v>
      </c>
      <c r="K25" s="48"/>
      <c r="L25" s="48"/>
      <c r="M25" s="48"/>
      <c r="N25" s="48"/>
      <c r="O25" s="48"/>
      <c r="P25" s="99"/>
      <c r="Q25" s="99"/>
      <c r="R25" s="99"/>
    </row>
  </sheetData>
  <sheetProtection sheet="1" objects="1" scenarios="1" selectLockedCells="1"/>
  <mergeCells count="11">
    <mergeCell ref="A1:O1"/>
    <mergeCell ref="A5:E7"/>
    <mergeCell ref="B10:E10"/>
    <mergeCell ref="F6:F7"/>
    <mergeCell ref="D3:E3"/>
    <mergeCell ref="D2:E2"/>
    <mergeCell ref="A8:E8"/>
    <mergeCell ref="B12:E12"/>
    <mergeCell ref="B13:E13"/>
    <mergeCell ref="B11:E11"/>
    <mergeCell ref="G6:O6"/>
  </mergeCells>
  <phoneticPr fontId="0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2</oddHeader>
    <oddFooter>&amp;LPage 20&amp;Rver 3 (12/2007)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A1:R17"/>
  <sheetViews>
    <sheetView zoomScale="80" zoomScaleNormal="80" workbookViewId="0">
      <selection activeCell="Q17" sqref="Q17"/>
    </sheetView>
  </sheetViews>
  <sheetFormatPr defaultColWidth="0" defaultRowHeight="12.75" zeroHeight="1" x14ac:dyDescent="0.2"/>
  <cols>
    <col min="1" max="4" width="3.7109375" customWidth="1"/>
    <col min="5" max="5" width="19.7109375" customWidth="1"/>
    <col min="6" max="6" width="18" customWidth="1"/>
    <col min="7" max="7" width="13.85546875" customWidth="1"/>
    <col min="8" max="8" width="18.28515625" customWidth="1"/>
    <col min="9" max="9" width="15.28515625" customWidth="1"/>
    <col min="10" max="10" width="15" customWidth="1"/>
    <col min="11" max="11" width="13.5703125" customWidth="1"/>
    <col min="12" max="12" width="16.85546875" customWidth="1"/>
    <col min="13" max="13" width="17.140625" customWidth="1"/>
    <col min="14" max="14" width="14.28515625" customWidth="1"/>
    <col min="15" max="15" width="15.42578125" customWidth="1"/>
    <col min="16" max="18" width="15" style="13" customWidth="1"/>
  </cols>
  <sheetData>
    <row r="1" spans="1:18" s="76" customFormat="1" ht="45.75" customHeight="1" x14ac:dyDescent="0.2">
      <c r="A1" s="173" t="s">
        <v>208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74"/>
      <c r="P1" s="99"/>
      <c r="Q1" s="99"/>
      <c r="R1" s="99"/>
    </row>
    <row r="2" spans="1:18" s="76" customFormat="1" ht="20.100000000000001" customHeight="1" x14ac:dyDescent="0.25">
      <c r="A2" s="47" t="s">
        <v>28</v>
      </c>
      <c r="B2" s="47"/>
      <c r="C2" s="47"/>
      <c r="D2" s="184" t="str">
        <f>'CSS Pgm 1'!E2</f>
        <v>Santa Cruz</v>
      </c>
      <c r="E2" s="184"/>
      <c r="F2" s="74"/>
      <c r="G2" s="74"/>
      <c r="H2" s="74"/>
      <c r="I2" s="74"/>
      <c r="J2" s="74"/>
      <c r="K2" s="74"/>
      <c r="L2" s="74"/>
      <c r="M2" s="74"/>
      <c r="N2" s="49" t="s">
        <v>29</v>
      </c>
      <c r="O2" s="78" t="str">
        <f>Worksheet!$N$2</f>
        <v>10/7/09</v>
      </c>
      <c r="P2" s="99"/>
      <c r="Q2" s="99"/>
      <c r="R2" s="99"/>
    </row>
    <row r="3" spans="1:18" s="76" customFormat="1" ht="15" customHeight="1" x14ac:dyDescent="0.25">
      <c r="A3" s="73"/>
      <c r="B3" s="73"/>
      <c r="C3" s="73"/>
      <c r="D3" s="183"/>
      <c r="E3" s="183"/>
      <c r="F3" s="74"/>
      <c r="G3" s="74"/>
      <c r="H3" s="74"/>
      <c r="I3" s="74"/>
      <c r="J3" s="74"/>
      <c r="K3" s="74"/>
      <c r="L3" s="74"/>
      <c r="M3" s="74"/>
      <c r="N3" s="74"/>
      <c r="O3" s="74"/>
      <c r="P3" s="99"/>
      <c r="Q3" s="99"/>
      <c r="R3" s="99"/>
    </row>
    <row r="4" spans="1:18" s="76" customFormat="1" ht="15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99"/>
      <c r="Q4" s="99"/>
      <c r="R4" s="99"/>
    </row>
    <row r="5" spans="1:18" s="108" customFormat="1" ht="18" customHeight="1" x14ac:dyDescent="0.25">
      <c r="A5" s="193"/>
      <c r="B5" s="194"/>
      <c r="C5" s="194"/>
      <c r="D5" s="194"/>
      <c r="E5" s="195"/>
      <c r="F5" s="75" t="s">
        <v>19</v>
      </c>
      <c r="G5" s="75" t="s">
        <v>20</v>
      </c>
      <c r="H5" s="75" t="s">
        <v>27</v>
      </c>
      <c r="I5" s="75" t="s">
        <v>21</v>
      </c>
      <c r="J5" s="75" t="s">
        <v>22</v>
      </c>
      <c r="K5" s="75" t="s">
        <v>23</v>
      </c>
      <c r="L5" s="75" t="s">
        <v>24</v>
      </c>
      <c r="M5" s="75" t="s">
        <v>25</v>
      </c>
      <c r="N5" s="75" t="s">
        <v>26</v>
      </c>
      <c r="O5" s="75" t="s">
        <v>63</v>
      </c>
      <c r="P5" s="100"/>
      <c r="Q5" s="100"/>
      <c r="R5" s="100"/>
    </row>
    <row r="6" spans="1:18" s="108" customFormat="1" ht="22.5" customHeight="1" x14ac:dyDescent="0.25">
      <c r="A6" s="196"/>
      <c r="B6" s="197"/>
      <c r="C6" s="197"/>
      <c r="D6" s="197"/>
      <c r="E6" s="198"/>
      <c r="F6" s="171" t="s">
        <v>6</v>
      </c>
      <c r="G6" s="201" t="s">
        <v>36</v>
      </c>
      <c r="H6" s="202"/>
      <c r="I6" s="202"/>
      <c r="J6" s="202"/>
      <c r="K6" s="202"/>
      <c r="L6" s="202"/>
      <c r="M6" s="202"/>
      <c r="N6" s="202"/>
      <c r="O6" s="203"/>
      <c r="P6" s="100"/>
      <c r="Q6" s="100"/>
      <c r="R6" s="100"/>
    </row>
    <row r="7" spans="1:18" s="1" customFormat="1" ht="42" customHeight="1" x14ac:dyDescent="0.2">
      <c r="A7" s="199"/>
      <c r="B7" s="184"/>
      <c r="C7" s="184"/>
      <c r="D7" s="184"/>
      <c r="E7" s="200"/>
      <c r="F7" s="172"/>
      <c r="G7" s="97" t="s">
        <v>0</v>
      </c>
      <c r="H7" s="97" t="s">
        <v>35</v>
      </c>
      <c r="I7" s="97" t="s">
        <v>18</v>
      </c>
      <c r="J7" s="97" t="s">
        <v>1</v>
      </c>
      <c r="K7" s="97" t="s">
        <v>15</v>
      </c>
      <c r="L7" s="97" t="s">
        <v>16</v>
      </c>
      <c r="M7" s="97" t="s">
        <v>2</v>
      </c>
      <c r="N7" s="97" t="s">
        <v>17</v>
      </c>
      <c r="O7" s="97" t="s">
        <v>62</v>
      </c>
      <c r="P7" s="79" t="s">
        <v>235</v>
      </c>
      <c r="Q7" s="79" t="s">
        <v>236</v>
      </c>
      <c r="R7" s="79" t="s">
        <v>106</v>
      </c>
    </row>
    <row r="8" spans="1:18" ht="24.95" customHeight="1" x14ac:dyDescent="0.2">
      <c r="A8" s="103" t="s">
        <v>37</v>
      </c>
      <c r="B8" s="87"/>
      <c r="C8" s="87"/>
      <c r="D8" s="87"/>
      <c r="E8" s="88"/>
      <c r="F8" s="80"/>
      <c r="G8" s="80"/>
      <c r="H8" s="80"/>
      <c r="I8" s="80"/>
      <c r="J8" s="80"/>
      <c r="K8" s="80"/>
      <c r="L8" s="80"/>
      <c r="M8" s="80"/>
      <c r="N8" s="80"/>
      <c r="O8" s="80"/>
      <c r="P8" s="77">
        <f t="shared" ref="P8:P17" si="0">SUM(G8:O8)</f>
        <v>0</v>
      </c>
      <c r="Q8" s="77" t="b">
        <f>EXACT(P8,R8)</f>
        <v>1</v>
      </c>
      <c r="R8" s="77">
        <f t="shared" ref="R8:R17" si="1">F8</f>
        <v>0</v>
      </c>
    </row>
    <row r="9" spans="1:18" ht="24.95" customHeight="1" x14ac:dyDescent="0.2">
      <c r="A9" s="60" t="s">
        <v>40</v>
      </c>
      <c r="B9" s="52"/>
      <c r="C9" s="52"/>
      <c r="D9" s="52"/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77">
        <f t="shared" si="0"/>
        <v>0</v>
      </c>
      <c r="Q9" s="77" t="b">
        <f t="shared" ref="Q9:Q17" si="2">EXACT(P9,R9)</f>
        <v>1</v>
      </c>
      <c r="R9" s="77">
        <f t="shared" si="1"/>
        <v>0</v>
      </c>
    </row>
    <row r="10" spans="1:18" ht="24.95" customHeight="1" x14ac:dyDescent="0.2">
      <c r="A10" s="55" t="s">
        <v>73</v>
      </c>
      <c r="B10" s="56"/>
      <c r="C10" s="56"/>
      <c r="D10" s="56"/>
      <c r="E10" s="5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77">
        <f t="shared" si="0"/>
        <v>0</v>
      </c>
      <c r="Q10" s="77" t="b">
        <f t="shared" si="2"/>
        <v>1</v>
      </c>
      <c r="R10" s="77">
        <f t="shared" si="1"/>
        <v>0</v>
      </c>
    </row>
    <row r="11" spans="1:18" ht="24.95" customHeight="1" x14ac:dyDescent="0.2">
      <c r="A11" s="104" t="s">
        <v>74</v>
      </c>
      <c r="B11" s="105"/>
      <c r="C11" s="105"/>
      <c r="D11" s="105"/>
      <c r="E11" s="106"/>
      <c r="F11" s="107">
        <f t="shared" ref="F11:O11" si="3">SUM(F8:F10)</f>
        <v>0</v>
      </c>
      <c r="G11" s="107">
        <f t="shared" si="3"/>
        <v>0</v>
      </c>
      <c r="H11" s="107">
        <f t="shared" si="3"/>
        <v>0</v>
      </c>
      <c r="I11" s="107">
        <f t="shared" si="3"/>
        <v>0</v>
      </c>
      <c r="J11" s="107">
        <f t="shared" si="3"/>
        <v>0</v>
      </c>
      <c r="K11" s="107">
        <f t="shared" si="3"/>
        <v>0</v>
      </c>
      <c r="L11" s="107">
        <f t="shared" si="3"/>
        <v>0</v>
      </c>
      <c r="M11" s="107">
        <f t="shared" si="3"/>
        <v>0</v>
      </c>
      <c r="N11" s="107">
        <f t="shared" si="3"/>
        <v>0</v>
      </c>
      <c r="O11" s="107">
        <f t="shared" si="3"/>
        <v>0</v>
      </c>
      <c r="P11" s="77">
        <f t="shared" si="0"/>
        <v>0</v>
      </c>
      <c r="Q11" s="77" t="b">
        <f t="shared" si="2"/>
        <v>1</v>
      </c>
      <c r="R11" s="77">
        <f t="shared" si="1"/>
        <v>0</v>
      </c>
    </row>
    <row r="12" spans="1:18" ht="15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7">
        <f t="shared" si="0"/>
        <v>0</v>
      </c>
      <c r="Q12" s="77" t="b">
        <f t="shared" si="2"/>
        <v>1</v>
      </c>
      <c r="R12" s="77">
        <f t="shared" si="1"/>
        <v>0</v>
      </c>
    </row>
    <row r="13" spans="1:18" ht="15" x14ac:dyDescent="0.2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7">
        <f t="shared" si="0"/>
        <v>0</v>
      </c>
      <c r="Q13" s="77" t="b">
        <f t="shared" si="2"/>
        <v>1</v>
      </c>
      <c r="R13" s="77">
        <f t="shared" si="1"/>
        <v>0</v>
      </c>
    </row>
    <row r="14" spans="1:18" ht="15" x14ac:dyDescent="0.2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7">
        <f t="shared" si="0"/>
        <v>0</v>
      </c>
      <c r="Q14" s="77" t="b">
        <f t="shared" si="2"/>
        <v>1</v>
      </c>
      <c r="R14" s="77">
        <f t="shared" si="1"/>
        <v>0</v>
      </c>
    </row>
    <row r="15" spans="1:18" ht="15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7">
        <f t="shared" si="0"/>
        <v>0</v>
      </c>
      <c r="Q15" s="77" t="b">
        <f t="shared" si="2"/>
        <v>1</v>
      </c>
      <c r="R15" s="77">
        <f t="shared" si="1"/>
        <v>0</v>
      </c>
    </row>
    <row r="16" spans="1:18" ht="15" x14ac:dyDescent="0.2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7">
        <f t="shared" si="0"/>
        <v>0</v>
      </c>
      <c r="Q16" s="77" t="b">
        <f t="shared" si="2"/>
        <v>1</v>
      </c>
      <c r="R16" s="77">
        <f t="shared" si="1"/>
        <v>0</v>
      </c>
    </row>
    <row r="17" spans="1:18" ht="15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7">
        <f t="shared" si="0"/>
        <v>0</v>
      </c>
      <c r="Q17" s="77" t="b">
        <f t="shared" si="2"/>
        <v>1</v>
      </c>
      <c r="R17" s="77">
        <f t="shared" si="1"/>
        <v>0</v>
      </c>
    </row>
  </sheetData>
  <sheetProtection sheet="1" objects="1" scenarios="1" selectLockedCells="1"/>
  <mergeCells count="6">
    <mergeCell ref="A1:N1"/>
    <mergeCell ref="A5:E7"/>
    <mergeCell ref="F6:F7"/>
    <mergeCell ref="D3:E3"/>
    <mergeCell ref="D2:E2"/>
    <mergeCell ref="G6:O6"/>
  </mergeCells>
  <phoneticPr fontId="0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19&amp;Rver 3 (12/2007)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8">
    <pageSetUpPr fitToPage="1"/>
  </sheetPr>
  <dimension ref="A1:R23"/>
  <sheetViews>
    <sheetView zoomScale="80" zoomScaleNormal="80" workbookViewId="0">
      <selection sqref="A1:N1"/>
    </sheetView>
  </sheetViews>
  <sheetFormatPr defaultColWidth="0" defaultRowHeight="12.75" zeroHeight="1" x14ac:dyDescent="0.2"/>
  <cols>
    <col min="1" max="1" width="2.5703125" customWidth="1"/>
    <col min="2" max="4" width="3.7109375" customWidth="1"/>
    <col min="5" max="5" width="35.28515625" customWidth="1"/>
    <col min="6" max="6" width="17.28515625" customWidth="1"/>
    <col min="7" max="7" width="11.5703125" customWidth="1"/>
    <col min="8" max="8" width="18.140625" customWidth="1"/>
    <col min="9" max="9" width="18.28515625" customWidth="1"/>
    <col min="10" max="10" width="14.28515625" customWidth="1"/>
    <col min="11" max="11" width="15.42578125" customWidth="1"/>
    <col min="12" max="12" width="17.140625" customWidth="1"/>
    <col min="13" max="13" width="17.42578125" customWidth="1"/>
    <col min="14" max="14" width="15" customWidth="1"/>
    <col min="15" max="15" width="14.140625" customWidth="1"/>
    <col min="16" max="18" width="15" style="13" customWidth="1"/>
  </cols>
  <sheetData>
    <row r="1" spans="1:18" ht="46.5" customHeight="1" x14ac:dyDescent="0.2">
      <c r="A1" s="173" t="s">
        <v>201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74"/>
      <c r="P1" s="99"/>
      <c r="Q1" s="99"/>
      <c r="R1" s="99"/>
    </row>
    <row r="2" spans="1:18" ht="20.100000000000001" customHeight="1" x14ac:dyDescent="0.25">
      <c r="A2" s="47" t="s">
        <v>28</v>
      </c>
      <c r="B2" s="47"/>
      <c r="C2" s="47"/>
      <c r="D2" s="184" t="str">
        <f>'CSS Pgm 1'!E2</f>
        <v>Santa Cruz</v>
      </c>
      <c r="E2" s="184"/>
      <c r="F2" s="74"/>
      <c r="G2" s="74"/>
      <c r="H2" s="74"/>
      <c r="I2" s="74"/>
      <c r="J2" s="74"/>
      <c r="K2" s="74"/>
      <c r="L2" s="74"/>
      <c r="M2" s="74"/>
      <c r="N2" s="49" t="s">
        <v>29</v>
      </c>
      <c r="O2" s="78" t="str">
        <f>Worksheet!$N$2</f>
        <v>10/7/09</v>
      </c>
      <c r="P2" s="99"/>
      <c r="Q2" s="99"/>
      <c r="R2" s="99"/>
    </row>
    <row r="3" spans="1:18" ht="15" customHeight="1" x14ac:dyDescent="0.25">
      <c r="A3" s="73"/>
      <c r="B3" s="73"/>
      <c r="C3" s="73"/>
      <c r="D3" s="183"/>
      <c r="E3" s="183"/>
      <c r="F3" s="74"/>
      <c r="G3" s="74"/>
      <c r="H3" s="74"/>
      <c r="I3" s="74"/>
      <c r="J3" s="74"/>
      <c r="K3" s="74"/>
      <c r="L3" s="74"/>
      <c r="M3" s="74"/>
      <c r="N3" s="74"/>
      <c r="O3" s="74"/>
      <c r="P3" s="99"/>
      <c r="Q3" s="99"/>
      <c r="R3" s="99"/>
    </row>
    <row r="4" spans="1:18" ht="15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99"/>
      <c r="Q4" s="99"/>
      <c r="R4" s="99"/>
    </row>
    <row r="5" spans="1:18" s="3" customFormat="1" ht="17.25" customHeight="1" x14ac:dyDescent="0.25">
      <c r="A5" s="174" t="s">
        <v>47</v>
      </c>
      <c r="B5" s="175"/>
      <c r="C5" s="175"/>
      <c r="D5" s="175"/>
      <c r="E5" s="176"/>
      <c r="F5" s="75" t="s">
        <v>19</v>
      </c>
      <c r="G5" s="75" t="s">
        <v>20</v>
      </c>
      <c r="H5" s="75" t="s">
        <v>27</v>
      </c>
      <c r="I5" s="75" t="s">
        <v>21</v>
      </c>
      <c r="J5" s="75" t="s">
        <v>22</v>
      </c>
      <c r="K5" s="75" t="s">
        <v>23</v>
      </c>
      <c r="L5" s="75" t="s">
        <v>24</v>
      </c>
      <c r="M5" s="75" t="s">
        <v>25</v>
      </c>
      <c r="N5" s="75" t="s">
        <v>26</v>
      </c>
      <c r="O5" s="75" t="s">
        <v>63</v>
      </c>
      <c r="P5" s="100"/>
      <c r="Q5" s="100"/>
      <c r="R5" s="100"/>
    </row>
    <row r="6" spans="1:18" s="3" customFormat="1" ht="21" customHeight="1" x14ac:dyDescent="0.25">
      <c r="A6" s="177"/>
      <c r="B6" s="178"/>
      <c r="C6" s="178"/>
      <c r="D6" s="178"/>
      <c r="E6" s="179"/>
      <c r="F6" s="171" t="s">
        <v>6</v>
      </c>
      <c r="G6" s="201" t="s">
        <v>36</v>
      </c>
      <c r="H6" s="202"/>
      <c r="I6" s="202"/>
      <c r="J6" s="202"/>
      <c r="K6" s="202"/>
      <c r="L6" s="202"/>
      <c r="M6" s="202"/>
      <c r="N6" s="202"/>
      <c r="O6" s="203"/>
      <c r="P6" s="100"/>
      <c r="Q6" s="100"/>
      <c r="R6" s="100"/>
    </row>
    <row r="7" spans="1:18" s="1" customFormat="1" ht="42" customHeight="1" x14ac:dyDescent="0.2">
      <c r="A7" s="180"/>
      <c r="B7" s="181"/>
      <c r="C7" s="181"/>
      <c r="D7" s="181"/>
      <c r="E7" s="182"/>
      <c r="F7" s="172"/>
      <c r="G7" s="97" t="s">
        <v>0</v>
      </c>
      <c r="H7" s="97" t="s">
        <v>35</v>
      </c>
      <c r="I7" s="97" t="s">
        <v>18</v>
      </c>
      <c r="J7" s="97" t="s">
        <v>1</v>
      </c>
      <c r="K7" s="97" t="s">
        <v>15</v>
      </c>
      <c r="L7" s="97" t="s">
        <v>16</v>
      </c>
      <c r="M7" s="97" t="s">
        <v>2</v>
      </c>
      <c r="N7" s="97" t="s">
        <v>17</v>
      </c>
      <c r="O7" s="97" t="s">
        <v>62</v>
      </c>
      <c r="P7" s="79" t="s">
        <v>235</v>
      </c>
      <c r="Q7" s="79" t="s">
        <v>236</v>
      </c>
      <c r="R7" s="79" t="s">
        <v>106</v>
      </c>
    </row>
    <row r="8" spans="1:18" ht="24.95" customHeight="1" x14ac:dyDescent="0.25">
      <c r="A8" s="109" t="s">
        <v>202</v>
      </c>
      <c r="B8" s="110"/>
      <c r="C8" s="110"/>
      <c r="D8" s="110"/>
      <c r="E8" s="111"/>
      <c r="F8" s="112"/>
      <c r="G8" s="112"/>
      <c r="H8" s="112"/>
      <c r="I8" s="112"/>
      <c r="J8" s="112"/>
      <c r="K8" s="112"/>
      <c r="L8" s="112"/>
      <c r="M8" s="112"/>
      <c r="N8" s="112"/>
      <c r="O8" s="54"/>
      <c r="P8" s="77">
        <f>SUM(G8:O8)</f>
        <v>0</v>
      </c>
      <c r="Q8" s="77" t="b">
        <f>EXACT(P8,R8)</f>
        <v>1</v>
      </c>
      <c r="R8" s="77">
        <f>F8</f>
        <v>0</v>
      </c>
    </row>
    <row r="9" spans="1:18" ht="24.95" customHeight="1" x14ac:dyDescent="0.2">
      <c r="A9" s="60"/>
      <c r="B9" s="52" t="s">
        <v>48</v>
      </c>
      <c r="C9" s="52"/>
      <c r="D9" s="52"/>
      <c r="E9" s="52"/>
      <c r="F9" s="112"/>
      <c r="G9" s="112"/>
      <c r="H9" s="112"/>
      <c r="I9" s="112"/>
      <c r="J9" s="112"/>
      <c r="K9" s="112"/>
      <c r="L9" s="112"/>
      <c r="M9" s="112"/>
      <c r="N9" s="112"/>
      <c r="O9" s="54"/>
      <c r="P9" s="77">
        <f>SUM(G9:O9)</f>
        <v>0</v>
      </c>
      <c r="Q9" s="77" t="b">
        <f>EXACT(P9,R9)</f>
        <v>1</v>
      </c>
      <c r="R9" s="77">
        <f>F9</f>
        <v>0</v>
      </c>
    </row>
    <row r="10" spans="1:18" ht="24.95" customHeight="1" x14ac:dyDescent="0.2">
      <c r="A10" s="60"/>
      <c r="B10" s="52" t="s">
        <v>49</v>
      </c>
      <c r="C10" s="52"/>
      <c r="D10" s="52"/>
      <c r="E10" s="53"/>
      <c r="F10" s="54">
        <f>Worksheet!K24</f>
        <v>24340</v>
      </c>
      <c r="G10" s="54">
        <f>F10-SUM(H10:O10)</f>
        <v>6201</v>
      </c>
      <c r="H10" s="54"/>
      <c r="I10" s="54"/>
      <c r="J10" s="54">
        <f>Worksheet!N24</f>
        <v>18139</v>
      </c>
      <c r="K10" s="54"/>
      <c r="L10" s="54"/>
      <c r="M10" s="54"/>
      <c r="N10" s="54"/>
      <c r="O10" s="54"/>
      <c r="P10" s="77">
        <f>SUM(G10:O10)</f>
        <v>24340</v>
      </c>
      <c r="Q10" s="77" t="b">
        <f>EXACT(P10,R10)</f>
        <v>1</v>
      </c>
      <c r="R10" s="77">
        <f>F10</f>
        <v>24340</v>
      </c>
    </row>
    <row r="11" spans="1:18" ht="24.95" customHeight="1" x14ac:dyDescent="0.2">
      <c r="A11" s="60"/>
      <c r="B11" s="52" t="s">
        <v>50</v>
      </c>
      <c r="C11" s="52"/>
      <c r="D11" s="52"/>
      <c r="E11" s="53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77">
        <f t="shared" ref="P11:P22" si="0">SUM(G11:O11)</f>
        <v>0</v>
      </c>
      <c r="Q11" s="77" t="b">
        <f>EXACT(P11,R11)</f>
        <v>1</v>
      </c>
      <c r="R11" s="77">
        <f t="shared" ref="R11:R22" si="1">F11</f>
        <v>0</v>
      </c>
    </row>
    <row r="12" spans="1:18" ht="24.95" customHeight="1" x14ac:dyDescent="0.2">
      <c r="A12" s="60"/>
      <c r="B12" s="52" t="s">
        <v>51</v>
      </c>
      <c r="C12" s="52"/>
      <c r="D12" s="52"/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77">
        <f t="shared" si="0"/>
        <v>0</v>
      </c>
      <c r="Q12" s="77" t="b">
        <f t="shared" ref="Q12:Q22" si="2">EXACT(P12,R12)</f>
        <v>1</v>
      </c>
      <c r="R12" s="77">
        <f t="shared" si="1"/>
        <v>0</v>
      </c>
    </row>
    <row r="13" spans="1:18" ht="24.95" customHeight="1" x14ac:dyDescent="0.2">
      <c r="A13" s="55"/>
      <c r="B13" s="52" t="s">
        <v>52</v>
      </c>
      <c r="C13" s="56"/>
      <c r="D13" s="56"/>
      <c r="E13" s="5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77">
        <f t="shared" si="0"/>
        <v>0</v>
      </c>
      <c r="Q13" s="77" t="b">
        <f t="shared" si="2"/>
        <v>1</v>
      </c>
      <c r="R13" s="77">
        <f t="shared" si="1"/>
        <v>0</v>
      </c>
    </row>
    <row r="14" spans="1:18" ht="24.95" customHeight="1" x14ac:dyDescent="0.2">
      <c r="A14" s="104" t="s">
        <v>203</v>
      </c>
      <c r="B14" s="105"/>
      <c r="C14" s="105"/>
      <c r="D14" s="105"/>
      <c r="E14" s="106"/>
      <c r="F14" s="107">
        <f>SUM(F9:F13)</f>
        <v>24340</v>
      </c>
      <c r="G14" s="107">
        <f t="shared" ref="G14:O14" si="3">SUM(G9:G13)</f>
        <v>6201</v>
      </c>
      <c r="H14" s="107">
        <f t="shared" si="3"/>
        <v>0</v>
      </c>
      <c r="I14" s="107">
        <f t="shared" si="3"/>
        <v>0</v>
      </c>
      <c r="J14" s="107">
        <f t="shared" si="3"/>
        <v>18139</v>
      </c>
      <c r="K14" s="107">
        <f t="shared" si="3"/>
        <v>0</v>
      </c>
      <c r="L14" s="107">
        <f t="shared" si="3"/>
        <v>0</v>
      </c>
      <c r="M14" s="107">
        <f t="shared" si="3"/>
        <v>0</v>
      </c>
      <c r="N14" s="107">
        <f t="shared" si="3"/>
        <v>0</v>
      </c>
      <c r="O14" s="107">
        <f t="shared" si="3"/>
        <v>0</v>
      </c>
      <c r="P14" s="77">
        <f t="shared" si="0"/>
        <v>24340</v>
      </c>
      <c r="Q14" s="77" t="b">
        <f t="shared" si="2"/>
        <v>1</v>
      </c>
      <c r="R14" s="77">
        <f t="shared" si="1"/>
        <v>24340</v>
      </c>
    </row>
    <row r="15" spans="1:18" ht="24.95" customHeight="1" x14ac:dyDescent="0.25">
      <c r="A15" s="109" t="s">
        <v>204</v>
      </c>
      <c r="B15" s="110"/>
      <c r="C15" s="110"/>
      <c r="D15" s="110"/>
      <c r="E15" s="111"/>
      <c r="F15" s="112"/>
      <c r="G15" s="112"/>
      <c r="H15" s="112"/>
      <c r="I15" s="112"/>
      <c r="J15" s="112"/>
      <c r="K15" s="112"/>
      <c r="L15" s="112"/>
      <c r="M15" s="112"/>
      <c r="N15" s="112"/>
      <c r="O15" s="54"/>
      <c r="P15" s="77">
        <f t="shared" si="0"/>
        <v>0</v>
      </c>
      <c r="Q15" s="77" t="b">
        <f t="shared" si="2"/>
        <v>1</v>
      </c>
      <c r="R15" s="77">
        <f t="shared" si="1"/>
        <v>0</v>
      </c>
    </row>
    <row r="16" spans="1:18" ht="24.95" customHeight="1" x14ac:dyDescent="0.2">
      <c r="A16" s="60"/>
      <c r="B16" s="52" t="s">
        <v>48</v>
      </c>
      <c r="C16" s="52"/>
      <c r="D16" s="52"/>
      <c r="E16" s="52"/>
      <c r="F16" s="112"/>
      <c r="G16" s="112"/>
      <c r="H16" s="112"/>
      <c r="I16" s="112"/>
      <c r="J16" s="112"/>
      <c r="K16" s="112"/>
      <c r="L16" s="112"/>
      <c r="M16" s="112"/>
      <c r="N16" s="112"/>
      <c r="O16" s="54"/>
      <c r="P16" s="77">
        <f t="shared" si="0"/>
        <v>0</v>
      </c>
      <c r="Q16" s="77" t="b">
        <f t="shared" si="2"/>
        <v>1</v>
      </c>
      <c r="R16" s="77">
        <f t="shared" si="1"/>
        <v>0</v>
      </c>
    </row>
    <row r="17" spans="1:18" ht="24.95" customHeight="1" x14ac:dyDescent="0.2">
      <c r="A17" s="60"/>
      <c r="B17" s="52" t="s">
        <v>49</v>
      </c>
      <c r="C17" s="52"/>
      <c r="D17" s="52"/>
      <c r="E17" s="53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77">
        <f t="shared" si="0"/>
        <v>0</v>
      </c>
      <c r="Q17" s="77" t="b">
        <f t="shared" si="2"/>
        <v>1</v>
      </c>
      <c r="R17" s="77">
        <f t="shared" si="1"/>
        <v>0</v>
      </c>
    </row>
    <row r="18" spans="1:18" ht="24.95" customHeight="1" x14ac:dyDescent="0.2">
      <c r="A18" s="60"/>
      <c r="B18" s="52" t="s">
        <v>50</v>
      </c>
      <c r="C18" s="52"/>
      <c r="D18" s="52"/>
      <c r="E18" s="53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77">
        <f t="shared" si="0"/>
        <v>0</v>
      </c>
      <c r="Q18" s="77" t="b">
        <f t="shared" si="2"/>
        <v>1</v>
      </c>
      <c r="R18" s="77">
        <f t="shared" si="1"/>
        <v>0</v>
      </c>
    </row>
    <row r="19" spans="1:18" ht="24.95" customHeight="1" x14ac:dyDescent="0.2">
      <c r="A19" s="60"/>
      <c r="B19" s="52" t="s">
        <v>51</v>
      </c>
      <c r="C19" s="52"/>
      <c r="D19" s="52"/>
      <c r="E19" s="53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77">
        <f t="shared" si="0"/>
        <v>0</v>
      </c>
      <c r="Q19" s="77" t="b">
        <f t="shared" si="2"/>
        <v>1</v>
      </c>
      <c r="R19" s="77">
        <f t="shared" si="1"/>
        <v>0</v>
      </c>
    </row>
    <row r="20" spans="1:18" ht="24.95" customHeight="1" x14ac:dyDescent="0.2">
      <c r="A20" s="55"/>
      <c r="B20" s="52" t="s">
        <v>52</v>
      </c>
      <c r="C20" s="56"/>
      <c r="D20" s="56"/>
      <c r="E20" s="57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77">
        <f t="shared" si="0"/>
        <v>0</v>
      </c>
      <c r="Q20" s="77" t="b">
        <f t="shared" si="2"/>
        <v>1</v>
      </c>
      <c r="R20" s="77">
        <f t="shared" si="1"/>
        <v>0</v>
      </c>
    </row>
    <row r="21" spans="1:18" ht="24.95" customHeight="1" x14ac:dyDescent="0.2">
      <c r="A21" s="104" t="s">
        <v>205</v>
      </c>
      <c r="B21" s="105"/>
      <c r="C21" s="105"/>
      <c r="D21" s="105"/>
      <c r="E21" s="106"/>
      <c r="F21" s="107">
        <f t="shared" ref="F21:O21" si="4">SUM(F16:F20)</f>
        <v>0</v>
      </c>
      <c r="G21" s="107">
        <f t="shared" si="4"/>
        <v>0</v>
      </c>
      <c r="H21" s="107">
        <f t="shared" si="4"/>
        <v>0</v>
      </c>
      <c r="I21" s="107">
        <f t="shared" si="4"/>
        <v>0</v>
      </c>
      <c r="J21" s="107">
        <f t="shared" si="4"/>
        <v>0</v>
      </c>
      <c r="K21" s="107">
        <f t="shared" si="4"/>
        <v>0</v>
      </c>
      <c r="L21" s="107">
        <f t="shared" si="4"/>
        <v>0</v>
      </c>
      <c r="M21" s="107">
        <f t="shared" si="4"/>
        <v>0</v>
      </c>
      <c r="N21" s="107">
        <f t="shared" si="4"/>
        <v>0</v>
      </c>
      <c r="O21" s="107">
        <f t="shared" si="4"/>
        <v>0</v>
      </c>
      <c r="P21" s="77">
        <f t="shared" si="0"/>
        <v>0</v>
      </c>
      <c r="Q21" s="77" t="b">
        <f t="shared" si="2"/>
        <v>1</v>
      </c>
      <c r="R21" s="77">
        <f t="shared" si="1"/>
        <v>0</v>
      </c>
    </row>
    <row r="22" spans="1:18" ht="28.5" customHeight="1" x14ac:dyDescent="0.2">
      <c r="A22" s="104" t="s">
        <v>206</v>
      </c>
      <c r="B22" s="105"/>
      <c r="C22" s="105"/>
      <c r="D22" s="105"/>
      <c r="E22" s="106"/>
      <c r="F22" s="107">
        <f>F14+F21</f>
        <v>24340</v>
      </c>
      <c r="G22" s="107">
        <f t="shared" ref="G22:O22" si="5">G14+G21</f>
        <v>6201</v>
      </c>
      <c r="H22" s="107">
        <f t="shared" si="5"/>
        <v>0</v>
      </c>
      <c r="I22" s="107">
        <f t="shared" si="5"/>
        <v>0</v>
      </c>
      <c r="J22" s="107">
        <f t="shared" si="5"/>
        <v>18139</v>
      </c>
      <c r="K22" s="107">
        <f t="shared" si="5"/>
        <v>0</v>
      </c>
      <c r="L22" s="107">
        <f t="shared" si="5"/>
        <v>0</v>
      </c>
      <c r="M22" s="107">
        <f t="shared" si="5"/>
        <v>0</v>
      </c>
      <c r="N22" s="107">
        <f t="shared" si="5"/>
        <v>0</v>
      </c>
      <c r="O22" s="107">
        <f t="shared" si="5"/>
        <v>0</v>
      </c>
      <c r="P22" s="77">
        <f t="shared" si="0"/>
        <v>24340</v>
      </c>
      <c r="Q22" s="77" t="b">
        <f t="shared" si="2"/>
        <v>1</v>
      </c>
      <c r="R22" s="77">
        <f t="shared" si="1"/>
        <v>24340</v>
      </c>
    </row>
    <row r="23" spans="1:18" ht="24.95" hidden="1" customHeight="1" x14ac:dyDescent="0.2"/>
  </sheetData>
  <sheetProtection sheet="1" objects="1" scenarios="1" selectLockedCells="1"/>
  <mergeCells count="6">
    <mergeCell ref="A1:N1"/>
    <mergeCell ref="A5:E7"/>
    <mergeCell ref="F6:F7"/>
    <mergeCell ref="D3:E3"/>
    <mergeCell ref="D2:E2"/>
    <mergeCell ref="G6:O6"/>
  </mergeCells>
  <phoneticPr fontId="0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18&amp;Rver 3 (12/2007)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2"/>
  <sheetViews>
    <sheetView zoomScale="80" zoomScaleNormal="80" workbookViewId="0">
      <selection sqref="A1:N1"/>
    </sheetView>
  </sheetViews>
  <sheetFormatPr defaultColWidth="0" defaultRowHeight="12.75" zeroHeight="1" x14ac:dyDescent="0.2"/>
  <cols>
    <col min="1" max="1" width="3.85546875" customWidth="1"/>
    <col min="2" max="2" width="4.85546875" customWidth="1"/>
    <col min="3" max="4" width="3.7109375" customWidth="1"/>
    <col min="5" max="5" width="28.42578125" customWidth="1"/>
    <col min="6" max="6" width="16.85546875" customWidth="1"/>
    <col min="7" max="7" width="12.7109375" customWidth="1"/>
    <col min="8" max="8" width="18.5703125" customWidth="1"/>
    <col min="9" max="9" width="16.7109375" customWidth="1"/>
    <col min="10" max="10" width="13.28515625" customWidth="1"/>
    <col min="11" max="11" width="15.5703125" customWidth="1"/>
    <col min="12" max="12" width="18.28515625" customWidth="1"/>
    <col min="13" max="13" width="18.140625" customWidth="1"/>
    <col min="14" max="14" width="14.28515625" customWidth="1"/>
    <col min="15" max="15" width="15.5703125" customWidth="1"/>
    <col min="16" max="18" width="15" style="13" customWidth="1"/>
  </cols>
  <sheetData>
    <row r="1" spans="1:18" ht="51" customHeight="1" x14ac:dyDescent="0.2">
      <c r="A1" s="173" t="s">
        <v>212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74"/>
      <c r="P1" s="99"/>
      <c r="Q1" s="99"/>
      <c r="R1" s="99"/>
    </row>
    <row r="2" spans="1:18" ht="20.100000000000001" customHeight="1" x14ac:dyDescent="0.25">
      <c r="A2" s="47" t="s">
        <v>28</v>
      </c>
      <c r="B2" s="47"/>
      <c r="C2" s="47"/>
      <c r="D2" s="184" t="str">
        <f>'CSS Pgm 1'!E2</f>
        <v>Santa Cruz</v>
      </c>
      <c r="E2" s="184"/>
      <c r="F2" s="74"/>
      <c r="G2" s="74"/>
      <c r="H2" s="74"/>
      <c r="I2" s="74"/>
      <c r="J2" s="74"/>
      <c r="K2" s="74"/>
      <c r="L2" s="74"/>
      <c r="M2" s="74"/>
      <c r="N2" s="49" t="s">
        <v>29</v>
      </c>
      <c r="O2" s="78" t="str">
        <f>Worksheet!$N$2</f>
        <v>10/7/09</v>
      </c>
      <c r="P2" s="99"/>
      <c r="Q2" s="99"/>
      <c r="R2" s="99"/>
    </row>
    <row r="3" spans="1:18" ht="15" customHeight="1" x14ac:dyDescent="0.25">
      <c r="A3" s="73"/>
      <c r="B3" s="73"/>
      <c r="C3" s="73"/>
      <c r="D3" s="183"/>
      <c r="E3" s="183"/>
      <c r="F3" s="74"/>
      <c r="G3" s="74"/>
      <c r="H3" s="74"/>
      <c r="I3" s="74"/>
      <c r="J3" s="74"/>
      <c r="K3" s="74"/>
      <c r="L3" s="74"/>
      <c r="M3" s="74"/>
      <c r="N3" s="74"/>
      <c r="O3" s="74"/>
      <c r="P3" s="99"/>
      <c r="Q3" s="99"/>
      <c r="R3" s="99"/>
    </row>
    <row r="4" spans="1:18" ht="15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99"/>
      <c r="Q4" s="99"/>
      <c r="R4" s="99"/>
    </row>
    <row r="5" spans="1:18" s="3" customFormat="1" ht="15" customHeight="1" x14ac:dyDescent="0.25">
      <c r="A5" s="193"/>
      <c r="B5" s="194"/>
      <c r="C5" s="194"/>
      <c r="D5" s="194"/>
      <c r="E5" s="195"/>
      <c r="F5" s="75" t="s">
        <v>19</v>
      </c>
      <c r="G5" s="75" t="s">
        <v>20</v>
      </c>
      <c r="H5" s="75" t="s">
        <v>27</v>
      </c>
      <c r="I5" s="75" t="s">
        <v>21</v>
      </c>
      <c r="J5" s="75" t="s">
        <v>22</v>
      </c>
      <c r="K5" s="75" t="s">
        <v>23</v>
      </c>
      <c r="L5" s="75" t="s">
        <v>24</v>
      </c>
      <c r="M5" s="75" t="s">
        <v>25</v>
      </c>
      <c r="N5" s="75" t="s">
        <v>26</v>
      </c>
      <c r="O5" s="75" t="s">
        <v>63</v>
      </c>
      <c r="P5" s="100"/>
      <c r="Q5" s="100"/>
      <c r="R5" s="100"/>
    </row>
    <row r="6" spans="1:18" s="3" customFormat="1" ht="22.5" customHeight="1" x14ac:dyDescent="0.25">
      <c r="A6" s="196"/>
      <c r="B6" s="197"/>
      <c r="C6" s="197"/>
      <c r="D6" s="197"/>
      <c r="E6" s="198"/>
      <c r="F6" s="171" t="s">
        <v>6</v>
      </c>
      <c r="G6" s="201" t="s">
        <v>36</v>
      </c>
      <c r="H6" s="202"/>
      <c r="I6" s="202"/>
      <c r="J6" s="202"/>
      <c r="K6" s="202"/>
      <c r="L6" s="202"/>
      <c r="M6" s="202"/>
      <c r="N6" s="202"/>
      <c r="O6" s="203"/>
      <c r="P6" s="100"/>
      <c r="Q6" s="100"/>
      <c r="R6" s="100"/>
    </row>
    <row r="7" spans="1:18" s="1" customFormat="1" ht="42" customHeight="1" x14ac:dyDescent="0.2">
      <c r="A7" s="199"/>
      <c r="B7" s="184"/>
      <c r="C7" s="184"/>
      <c r="D7" s="184"/>
      <c r="E7" s="200"/>
      <c r="F7" s="172"/>
      <c r="G7" s="97" t="s">
        <v>0</v>
      </c>
      <c r="H7" s="97" t="s">
        <v>35</v>
      </c>
      <c r="I7" s="97" t="s">
        <v>18</v>
      </c>
      <c r="J7" s="97" t="s">
        <v>1</v>
      </c>
      <c r="K7" s="97" t="s">
        <v>15</v>
      </c>
      <c r="L7" s="97" t="s">
        <v>16</v>
      </c>
      <c r="M7" s="97" t="s">
        <v>2</v>
      </c>
      <c r="N7" s="97" t="s">
        <v>17</v>
      </c>
      <c r="O7" s="97" t="s">
        <v>62</v>
      </c>
      <c r="P7" s="98" t="s">
        <v>235</v>
      </c>
      <c r="Q7" s="98" t="s">
        <v>236</v>
      </c>
      <c r="R7" s="98" t="s">
        <v>106</v>
      </c>
    </row>
    <row r="8" spans="1:18" ht="24.95" customHeight="1" x14ac:dyDescent="0.2">
      <c r="A8" s="103" t="s">
        <v>37</v>
      </c>
      <c r="B8" s="87"/>
      <c r="C8" s="87"/>
      <c r="D8" s="87"/>
      <c r="E8" s="88"/>
      <c r="F8" s="80">
        <f>Worksheet!I25</f>
        <v>0</v>
      </c>
      <c r="G8" s="80"/>
      <c r="H8" s="80"/>
      <c r="I8" s="80"/>
      <c r="J8" s="80"/>
      <c r="K8" s="80"/>
      <c r="L8" s="80"/>
      <c r="M8" s="80"/>
      <c r="N8" s="80"/>
      <c r="O8" s="80"/>
      <c r="P8" s="77">
        <f>SUM(G8:O8)</f>
        <v>0</v>
      </c>
      <c r="Q8" s="77" t="b">
        <f>EXACT(P8,R8)</f>
        <v>1</v>
      </c>
      <c r="R8" s="77">
        <f>F8</f>
        <v>0</v>
      </c>
    </row>
    <row r="9" spans="1:18" ht="24.95" customHeight="1" x14ac:dyDescent="0.2">
      <c r="A9" s="55" t="s">
        <v>4</v>
      </c>
      <c r="B9" s="56"/>
      <c r="C9" s="56"/>
      <c r="D9" s="56"/>
      <c r="E9" s="57"/>
      <c r="F9" s="58">
        <f>Worksheet!J25</f>
        <v>46229</v>
      </c>
      <c r="G9" s="58">
        <f>F9-SUM(H9:O9)</f>
        <v>11601</v>
      </c>
      <c r="H9" s="58"/>
      <c r="I9" s="58"/>
      <c r="J9" s="58">
        <f>Worksheet!N25</f>
        <v>34628</v>
      </c>
      <c r="K9" s="58"/>
      <c r="L9" s="58"/>
      <c r="M9" s="58"/>
      <c r="N9" s="58"/>
      <c r="O9" s="58"/>
      <c r="P9" s="77">
        <f>SUM(G9:O9)</f>
        <v>46229</v>
      </c>
      <c r="Q9" s="77" t="b">
        <f t="shared" ref="Q9:Q22" si="0">EXACT(P9,R9)</f>
        <v>1</v>
      </c>
      <c r="R9" s="77">
        <f>F9</f>
        <v>46229</v>
      </c>
    </row>
    <row r="10" spans="1:18" ht="24.95" customHeight="1" x14ac:dyDescent="0.2">
      <c r="A10" s="104" t="s">
        <v>213</v>
      </c>
      <c r="B10" s="105"/>
      <c r="C10" s="105"/>
      <c r="D10" s="105"/>
      <c r="E10" s="106"/>
      <c r="F10" s="107">
        <f t="shared" ref="F10:O10" si="1">SUM(F8:F9)</f>
        <v>46229</v>
      </c>
      <c r="G10" s="107">
        <f t="shared" si="1"/>
        <v>11601</v>
      </c>
      <c r="H10" s="107">
        <f t="shared" si="1"/>
        <v>0</v>
      </c>
      <c r="I10" s="107">
        <f t="shared" si="1"/>
        <v>0</v>
      </c>
      <c r="J10" s="107">
        <f t="shared" si="1"/>
        <v>34628</v>
      </c>
      <c r="K10" s="107">
        <f t="shared" si="1"/>
        <v>0</v>
      </c>
      <c r="L10" s="107">
        <f t="shared" si="1"/>
        <v>0</v>
      </c>
      <c r="M10" s="107">
        <f t="shared" si="1"/>
        <v>0</v>
      </c>
      <c r="N10" s="107">
        <f t="shared" si="1"/>
        <v>0</v>
      </c>
      <c r="O10" s="107">
        <f t="shared" si="1"/>
        <v>0</v>
      </c>
      <c r="P10" s="77">
        <f>SUM(G10:O10)</f>
        <v>46229</v>
      </c>
      <c r="Q10" s="77" t="b">
        <f t="shared" si="0"/>
        <v>1</v>
      </c>
      <c r="R10" s="77">
        <f>F10</f>
        <v>46229</v>
      </c>
    </row>
    <row r="11" spans="1:18" ht="15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7">
        <f t="shared" ref="P11:P22" si="2">SUM(G11:O11)</f>
        <v>0</v>
      </c>
      <c r="Q11" s="77" t="b">
        <f t="shared" si="0"/>
        <v>1</v>
      </c>
      <c r="R11" s="77">
        <f t="shared" ref="R11:R22" si="3">F11</f>
        <v>0</v>
      </c>
    </row>
    <row r="12" spans="1:18" ht="15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7">
        <f t="shared" si="2"/>
        <v>0</v>
      </c>
      <c r="Q12" s="77" t="b">
        <f t="shared" si="0"/>
        <v>1</v>
      </c>
      <c r="R12" s="77">
        <f t="shared" si="3"/>
        <v>0</v>
      </c>
    </row>
    <row r="13" spans="1:18" ht="15" x14ac:dyDescent="0.2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7">
        <f t="shared" si="2"/>
        <v>0</v>
      </c>
      <c r="Q13" s="77" t="b">
        <f t="shared" si="0"/>
        <v>1</v>
      </c>
      <c r="R13" s="77">
        <f t="shared" si="3"/>
        <v>0</v>
      </c>
    </row>
    <row r="14" spans="1:18" ht="15" x14ac:dyDescent="0.2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7">
        <f t="shared" si="2"/>
        <v>0</v>
      </c>
      <c r="Q14" s="77" t="b">
        <f t="shared" si="0"/>
        <v>1</v>
      </c>
      <c r="R14" s="77">
        <f t="shared" si="3"/>
        <v>0</v>
      </c>
    </row>
    <row r="15" spans="1:18" ht="15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7">
        <f t="shared" si="2"/>
        <v>0</v>
      </c>
      <c r="Q15" s="77" t="b">
        <f t="shared" si="0"/>
        <v>1</v>
      </c>
      <c r="R15" s="77">
        <f t="shared" si="3"/>
        <v>0</v>
      </c>
    </row>
    <row r="16" spans="1:18" ht="15" x14ac:dyDescent="0.2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7">
        <f t="shared" si="2"/>
        <v>0</v>
      </c>
      <c r="Q16" s="77" t="b">
        <f t="shared" si="0"/>
        <v>1</v>
      </c>
      <c r="R16" s="77">
        <f t="shared" si="3"/>
        <v>0</v>
      </c>
    </row>
    <row r="17" spans="1:18" ht="15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7">
        <f t="shared" si="2"/>
        <v>0</v>
      </c>
      <c r="Q17" s="77" t="b">
        <f t="shared" si="0"/>
        <v>1</v>
      </c>
      <c r="R17" s="77">
        <f t="shared" si="3"/>
        <v>0</v>
      </c>
    </row>
    <row r="18" spans="1:18" ht="15" x14ac:dyDescent="0.2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7">
        <f t="shared" si="2"/>
        <v>0</v>
      </c>
      <c r="Q18" s="77" t="b">
        <f t="shared" si="0"/>
        <v>1</v>
      </c>
      <c r="R18" s="77">
        <f t="shared" si="3"/>
        <v>0</v>
      </c>
    </row>
    <row r="19" spans="1:18" ht="15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7">
        <f t="shared" si="2"/>
        <v>0</v>
      </c>
      <c r="Q19" s="77" t="b">
        <f t="shared" si="0"/>
        <v>1</v>
      </c>
      <c r="R19" s="77">
        <f t="shared" si="3"/>
        <v>0</v>
      </c>
    </row>
    <row r="20" spans="1:18" ht="15" x14ac:dyDescent="0.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7">
        <f t="shared" si="2"/>
        <v>0</v>
      </c>
      <c r="Q20" s="77" t="b">
        <f t="shared" si="0"/>
        <v>1</v>
      </c>
      <c r="R20" s="77">
        <f t="shared" si="3"/>
        <v>0</v>
      </c>
    </row>
    <row r="21" spans="1:18" ht="15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7">
        <f t="shared" si="2"/>
        <v>0</v>
      </c>
      <c r="Q21" s="77" t="b">
        <f t="shared" si="0"/>
        <v>1</v>
      </c>
      <c r="R21" s="77">
        <f t="shared" si="3"/>
        <v>0</v>
      </c>
    </row>
    <row r="22" spans="1:18" ht="15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7">
        <f t="shared" si="2"/>
        <v>0</v>
      </c>
      <c r="Q22" s="77" t="b">
        <f t="shared" si="0"/>
        <v>1</v>
      </c>
      <c r="R22" s="77">
        <f t="shared" si="3"/>
        <v>0</v>
      </c>
    </row>
  </sheetData>
  <sheetProtection sheet="1" objects="1" scenarios="1" selectLockedCells="1"/>
  <mergeCells count="6">
    <mergeCell ref="A1:N1"/>
    <mergeCell ref="A5:E7"/>
    <mergeCell ref="F6:F7"/>
    <mergeCell ref="D3:E3"/>
    <mergeCell ref="D2:E2"/>
    <mergeCell ref="G6:O6"/>
  </mergeCells>
  <phoneticPr fontId="0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19&amp;Rver 3 (12/2007)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pageSetUpPr fitToPage="1"/>
  </sheetPr>
  <dimension ref="A1:R59"/>
  <sheetViews>
    <sheetView zoomScale="80" zoomScaleNormal="80" workbookViewId="0">
      <selection sqref="A1:O1"/>
    </sheetView>
  </sheetViews>
  <sheetFormatPr defaultColWidth="0" defaultRowHeight="15" zeroHeight="1" x14ac:dyDescent="0.2"/>
  <cols>
    <col min="1" max="1" width="3.7109375" style="48" customWidth="1"/>
    <col min="2" max="2" width="4.85546875" style="48" customWidth="1"/>
    <col min="3" max="4" width="3.7109375" style="48" customWidth="1"/>
    <col min="5" max="5" width="42.85546875" style="48" customWidth="1"/>
    <col min="6" max="6" width="17" style="48" customWidth="1"/>
    <col min="7" max="7" width="12.7109375" style="48" customWidth="1"/>
    <col min="8" max="8" width="17.7109375" style="48" customWidth="1"/>
    <col min="9" max="9" width="15.7109375" style="48" customWidth="1"/>
    <col min="10" max="10" width="14.28515625" style="48" customWidth="1"/>
    <col min="11" max="11" width="14.7109375" style="48" customWidth="1"/>
    <col min="12" max="12" width="18.42578125" style="48" customWidth="1"/>
    <col min="13" max="13" width="16.140625" style="48" customWidth="1"/>
    <col min="14" max="14" width="15" style="48" customWidth="1"/>
    <col min="15" max="15" width="13.5703125" style="48" customWidth="1"/>
    <col min="16" max="16" width="16.85546875" style="77" customWidth="1"/>
    <col min="17" max="17" width="15.140625" style="77" customWidth="1"/>
    <col min="18" max="18" width="15.85546875" style="77" customWidth="1"/>
  </cols>
  <sheetData>
    <row r="1" spans="1:18" ht="38.25" customHeight="1" x14ac:dyDescent="0.2">
      <c r="A1" s="173" t="s">
        <v>228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99"/>
      <c r="Q1" s="99"/>
      <c r="R1" s="99"/>
    </row>
    <row r="2" spans="1:18" ht="24" customHeight="1" x14ac:dyDescent="0.25">
      <c r="A2" s="47" t="s">
        <v>28</v>
      </c>
      <c r="B2" s="47"/>
      <c r="C2" s="47"/>
      <c r="D2" s="184" t="str">
        <f>'CSS Pgm 1'!E2</f>
        <v>Santa Cruz</v>
      </c>
      <c r="E2" s="184"/>
      <c r="F2" s="74"/>
      <c r="G2" s="74"/>
      <c r="H2" s="74"/>
      <c r="I2" s="74"/>
      <c r="J2" s="74"/>
      <c r="K2" s="74"/>
      <c r="L2" s="74"/>
      <c r="M2" s="74"/>
      <c r="N2" s="49" t="s">
        <v>29</v>
      </c>
      <c r="O2" s="78" t="str">
        <f>Worksheet!$N$2</f>
        <v>10/7/09</v>
      </c>
      <c r="P2" s="99"/>
      <c r="Q2" s="99"/>
      <c r="R2" s="99"/>
    </row>
    <row r="3" spans="1:18" ht="18.75" customHeight="1" x14ac:dyDescent="0.25">
      <c r="A3" s="73"/>
      <c r="B3" s="73"/>
      <c r="C3" s="73"/>
      <c r="D3" s="183"/>
      <c r="E3" s="183"/>
      <c r="F3" s="74"/>
      <c r="G3" s="74"/>
      <c r="H3" s="74"/>
      <c r="I3" s="74"/>
      <c r="J3" s="74"/>
      <c r="K3" s="74"/>
      <c r="L3" s="74"/>
      <c r="M3" s="74"/>
      <c r="N3" s="74"/>
      <c r="O3" s="74"/>
      <c r="P3" s="99"/>
      <c r="Q3" s="99"/>
      <c r="R3" s="99"/>
    </row>
    <row r="4" spans="1:18" ht="12" customHeight="1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99"/>
      <c r="Q4" s="99"/>
      <c r="R4" s="99"/>
    </row>
    <row r="5" spans="1:18" s="3" customFormat="1" ht="17.25" customHeight="1" x14ac:dyDescent="0.25">
      <c r="A5" s="193"/>
      <c r="B5" s="194"/>
      <c r="C5" s="194"/>
      <c r="D5" s="194"/>
      <c r="E5" s="195"/>
      <c r="F5" s="75" t="s">
        <v>19</v>
      </c>
      <c r="G5" s="101" t="s">
        <v>20</v>
      </c>
      <c r="H5" s="101" t="s">
        <v>27</v>
      </c>
      <c r="I5" s="101" t="s">
        <v>21</v>
      </c>
      <c r="J5" s="101" t="s">
        <v>22</v>
      </c>
      <c r="K5" s="101" t="s">
        <v>23</v>
      </c>
      <c r="L5" s="101" t="s">
        <v>24</v>
      </c>
      <c r="M5" s="101" t="s">
        <v>25</v>
      </c>
      <c r="N5" s="101" t="s">
        <v>26</v>
      </c>
      <c r="O5" s="101" t="s">
        <v>63</v>
      </c>
      <c r="P5" s="100"/>
      <c r="Q5" s="100"/>
      <c r="R5" s="100"/>
    </row>
    <row r="6" spans="1:18" s="3" customFormat="1" ht="17.25" customHeight="1" x14ac:dyDescent="0.25">
      <c r="A6" s="196"/>
      <c r="B6" s="197"/>
      <c r="C6" s="197"/>
      <c r="D6" s="197"/>
      <c r="E6" s="198"/>
      <c r="F6" s="171" t="s">
        <v>6</v>
      </c>
      <c r="G6" s="201" t="s">
        <v>36</v>
      </c>
      <c r="H6" s="202"/>
      <c r="I6" s="202"/>
      <c r="J6" s="202"/>
      <c r="K6" s="202"/>
      <c r="L6" s="202"/>
      <c r="M6" s="202"/>
      <c r="N6" s="202"/>
      <c r="O6" s="203"/>
      <c r="P6" s="100"/>
      <c r="Q6" s="100"/>
      <c r="R6" s="100"/>
    </row>
    <row r="7" spans="1:18" s="1" customFormat="1" ht="42" customHeight="1" x14ac:dyDescent="0.2">
      <c r="A7" s="199"/>
      <c r="B7" s="184"/>
      <c r="C7" s="184"/>
      <c r="D7" s="184"/>
      <c r="E7" s="200"/>
      <c r="F7" s="172"/>
      <c r="G7" s="97" t="s">
        <v>0</v>
      </c>
      <c r="H7" s="97" t="s">
        <v>35</v>
      </c>
      <c r="I7" s="97" t="s">
        <v>18</v>
      </c>
      <c r="J7" s="97" t="s">
        <v>1</v>
      </c>
      <c r="K7" s="97" t="s">
        <v>15</v>
      </c>
      <c r="L7" s="97" t="s">
        <v>16</v>
      </c>
      <c r="M7" s="97" t="s">
        <v>2</v>
      </c>
      <c r="N7" s="97" t="s">
        <v>17</v>
      </c>
      <c r="O7" s="97" t="s">
        <v>62</v>
      </c>
      <c r="P7" s="98" t="s">
        <v>235</v>
      </c>
      <c r="Q7" s="98" t="s">
        <v>236</v>
      </c>
      <c r="R7" s="98" t="s">
        <v>106</v>
      </c>
    </row>
    <row r="8" spans="1:18" ht="21.75" customHeight="1" x14ac:dyDescent="0.25">
      <c r="A8" s="206" t="s">
        <v>44</v>
      </c>
      <c r="B8" s="207"/>
      <c r="C8" s="207"/>
      <c r="D8" s="207"/>
      <c r="E8" s="208"/>
      <c r="F8" s="80"/>
      <c r="G8" s="80"/>
      <c r="H8" s="80"/>
      <c r="I8" s="80"/>
      <c r="J8" s="80"/>
      <c r="K8" s="80"/>
      <c r="L8" s="80"/>
      <c r="M8" s="80"/>
      <c r="N8" s="80"/>
      <c r="O8" s="80"/>
      <c r="P8" s="77">
        <f>SUM(G8:O8)</f>
        <v>0</v>
      </c>
      <c r="Q8" s="77" t="b">
        <f>EXACT(P8,R8)</f>
        <v>1</v>
      </c>
      <c r="R8" s="77">
        <f>F8</f>
        <v>0</v>
      </c>
    </row>
    <row r="9" spans="1:18" ht="12" customHeight="1" x14ac:dyDescent="0.2">
      <c r="A9" s="60">
        <v>1</v>
      </c>
      <c r="B9" s="188" t="str">
        <f>CSS_Pgm1</f>
        <v>Community Gate</v>
      </c>
      <c r="C9" s="204"/>
      <c r="D9" s="204"/>
      <c r="E9" s="205"/>
      <c r="F9" s="54">
        <f>'CSS Pgm 1'!G$59</f>
        <v>212940</v>
      </c>
      <c r="G9" s="54">
        <f>'CSS Pgm 1'!H$59</f>
        <v>114186.00001024545</v>
      </c>
      <c r="H9" s="54">
        <f>'CSS Pgm 1'!I$59</f>
        <v>41357.999995577498</v>
      </c>
      <c r="I9" s="54">
        <f>'CSS Pgm 1'!J$59</f>
        <v>0</v>
      </c>
      <c r="J9" s="54">
        <f>'CSS Pgm 1'!K$59</f>
        <v>57395.999994177066</v>
      </c>
      <c r="K9" s="54">
        <f>'CSS Pgm 1'!L$59</f>
        <v>0</v>
      </c>
      <c r="L9" s="54">
        <f>'CSS Pgm 1'!M$59</f>
        <v>0</v>
      </c>
      <c r="M9" s="54">
        <f>'CSS Pgm 1'!N$59</f>
        <v>0</v>
      </c>
      <c r="N9" s="54">
        <f>'CSS Pgm 1'!O$59</f>
        <v>0</v>
      </c>
      <c r="O9" s="54">
        <f>'CSS Pgm 1'!P$59</f>
        <v>0</v>
      </c>
      <c r="P9" s="77">
        <f>SUM(G9:O9)</f>
        <v>212940</v>
      </c>
      <c r="Q9" s="77" t="b">
        <f t="shared" ref="Q9:Q22" si="0">EXACT(P9,R9)</f>
        <v>1</v>
      </c>
      <c r="R9" s="77">
        <f>F9</f>
        <v>212940</v>
      </c>
    </row>
    <row r="10" spans="1:18" ht="12" customHeight="1" x14ac:dyDescent="0.2">
      <c r="A10" s="60">
        <v>2</v>
      </c>
      <c r="B10" s="188" t="str">
        <f>_Pgm2</f>
        <v>Probation Gate</v>
      </c>
      <c r="C10" s="204"/>
      <c r="D10" s="204"/>
      <c r="E10" s="205"/>
      <c r="F10" s="54">
        <f>'CSS Pgm 2'!G$59</f>
        <v>123464</v>
      </c>
      <c r="G10" s="54">
        <f>'CSS Pgm 2'!H$59</f>
        <v>61125.000050491646</v>
      </c>
      <c r="H10" s="54">
        <f>'CSS Pgm 2'!I$59</f>
        <v>29528.999976082905</v>
      </c>
      <c r="I10" s="54">
        <f>'CSS Pgm 2'!J$59</f>
        <v>0</v>
      </c>
      <c r="J10" s="54">
        <f>'CSS Pgm 2'!K$59</f>
        <v>32809.999973425452</v>
      </c>
      <c r="K10" s="54">
        <f>'CSS Pgm 2'!L$59</f>
        <v>0</v>
      </c>
      <c r="L10" s="54">
        <f>'CSS Pgm 2'!M$59</f>
        <v>0</v>
      </c>
      <c r="M10" s="54">
        <f>'CSS Pgm 2'!N$59</f>
        <v>0</v>
      </c>
      <c r="N10" s="54">
        <f>'CSS Pgm 2'!O$59</f>
        <v>0</v>
      </c>
      <c r="O10" s="54">
        <f>'CSS Pgm 2'!P$59</f>
        <v>0</v>
      </c>
      <c r="P10" s="77">
        <f>SUM(G10:O10)</f>
        <v>123464</v>
      </c>
      <c r="Q10" s="77" t="b">
        <f t="shared" si="0"/>
        <v>1</v>
      </c>
      <c r="R10" s="77">
        <f>F10</f>
        <v>123464</v>
      </c>
    </row>
    <row r="11" spans="1:18" ht="12" customHeight="1" x14ac:dyDescent="0.2">
      <c r="A11" s="60">
        <v>3</v>
      </c>
      <c r="B11" s="188" t="str">
        <f>_Pgm3</f>
        <v>Child Welfare Services Gate</v>
      </c>
      <c r="C11" s="204"/>
      <c r="D11" s="204"/>
      <c r="E11" s="205"/>
      <c r="F11" s="54">
        <f>'CSS Pgm 3'!G$59</f>
        <v>389223</v>
      </c>
      <c r="G11" s="54">
        <f>'CSS Pgm 3'!H$59</f>
        <v>40081.000014282086</v>
      </c>
      <c r="H11" s="54">
        <f>'CSS Pgm 3'!I$59</f>
        <v>165382.99999323479</v>
      </c>
      <c r="I11" s="54">
        <f>'CSS Pgm 3'!J$59</f>
        <v>0</v>
      </c>
      <c r="J11" s="54">
        <f>'CSS Pgm 3'!K$59</f>
        <v>183758.99999248312</v>
      </c>
      <c r="K11" s="54">
        <f>'CSS Pgm 3'!L$59</f>
        <v>0</v>
      </c>
      <c r="L11" s="54">
        <f>'CSS Pgm 3'!M$59</f>
        <v>0</v>
      </c>
      <c r="M11" s="54">
        <f>'CSS Pgm 3'!N$59</f>
        <v>0</v>
      </c>
      <c r="N11" s="54">
        <f>'CSS Pgm 3'!O$59</f>
        <v>0</v>
      </c>
      <c r="O11" s="54">
        <f>'CSS Pgm 3'!P$59</f>
        <v>0</v>
      </c>
      <c r="P11" s="77">
        <f t="shared" ref="P11:P22" si="1">SUM(G11:O11)</f>
        <v>389223</v>
      </c>
      <c r="Q11" s="77" t="b">
        <f t="shared" si="0"/>
        <v>1</v>
      </c>
      <c r="R11" s="77">
        <f t="shared" ref="R11:R22" si="2">F11</f>
        <v>389223</v>
      </c>
    </row>
    <row r="12" spans="1:18" ht="12" customHeight="1" x14ac:dyDescent="0.2">
      <c r="A12" s="60">
        <v>4</v>
      </c>
      <c r="B12" s="188" t="str">
        <f>_Pgm4</f>
        <v>Education Gate</v>
      </c>
      <c r="C12" s="204"/>
      <c r="D12" s="204"/>
      <c r="E12" s="205"/>
      <c r="F12" s="54">
        <f>'CSS Pgm 4'!G$59</f>
        <v>45713</v>
      </c>
      <c r="G12" s="54">
        <f>'CSS Pgm 4'!H$59</f>
        <v>45522.000000041779</v>
      </c>
      <c r="H12" s="54">
        <f>'CSS Pgm 4'!I$59</f>
        <v>89.999999980311941</v>
      </c>
      <c r="I12" s="54">
        <f>'CSS Pgm 4'!J$59</f>
        <v>0</v>
      </c>
      <c r="J12" s="54">
        <f>'CSS Pgm 4'!K$59</f>
        <v>100.99999997790562</v>
      </c>
      <c r="K12" s="54">
        <f>'CSS Pgm 4'!L$59</f>
        <v>0</v>
      </c>
      <c r="L12" s="54">
        <f>'CSS Pgm 4'!M$59</f>
        <v>0</v>
      </c>
      <c r="M12" s="54">
        <f>'CSS Pgm 4'!N$59</f>
        <v>0</v>
      </c>
      <c r="N12" s="54">
        <f>'CSS Pgm 4'!O$59</f>
        <v>0</v>
      </c>
      <c r="O12" s="54">
        <f>'CSS Pgm 4'!P$59</f>
        <v>0</v>
      </c>
      <c r="P12" s="77">
        <f t="shared" si="1"/>
        <v>45712.999999999993</v>
      </c>
      <c r="Q12" s="77" t="b">
        <f t="shared" si="0"/>
        <v>1</v>
      </c>
      <c r="R12" s="77">
        <f t="shared" si="2"/>
        <v>45713</v>
      </c>
    </row>
    <row r="13" spans="1:18" ht="12" customHeight="1" x14ac:dyDescent="0.2">
      <c r="A13" s="60">
        <v>5</v>
      </c>
      <c r="B13" s="188" t="str">
        <f>_Pgm5</f>
        <v>Special Focus - Family Partners Services</v>
      </c>
      <c r="C13" s="204"/>
      <c r="D13" s="204"/>
      <c r="E13" s="205"/>
      <c r="F13" s="54">
        <f>'CSS Pgm 5'!G$59</f>
        <v>103781</v>
      </c>
      <c r="G13" s="54">
        <f>'CSS Pgm 5'!H$59</f>
        <v>95203.000000826549</v>
      </c>
      <c r="H13" s="54">
        <f>'CSS Pgm 5'!I$59</f>
        <v>4062.9999996085021</v>
      </c>
      <c r="I13" s="54">
        <f>'CSS Pgm 5'!J$59</f>
        <v>0</v>
      </c>
      <c r="J13" s="54">
        <f>'CSS Pgm 5'!K$59</f>
        <v>4514.9999995649487</v>
      </c>
      <c r="K13" s="54">
        <f>'CSS Pgm 5'!L$59</f>
        <v>0</v>
      </c>
      <c r="L13" s="54">
        <f>'CSS Pgm 5'!M$59</f>
        <v>0</v>
      </c>
      <c r="M13" s="54">
        <f>'CSS Pgm 5'!N$59</f>
        <v>0</v>
      </c>
      <c r="N13" s="54">
        <f>'CSS Pgm 5'!O$59</f>
        <v>0</v>
      </c>
      <c r="O13" s="54">
        <f>'CSS Pgm 5'!P$59</f>
        <v>0</v>
      </c>
      <c r="P13" s="77">
        <f t="shared" si="1"/>
        <v>103781</v>
      </c>
      <c r="Q13" s="77" t="b">
        <f t="shared" si="0"/>
        <v>1</v>
      </c>
      <c r="R13" s="77">
        <f t="shared" si="2"/>
        <v>103781</v>
      </c>
    </row>
    <row r="14" spans="1:18" ht="12" customHeight="1" x14ac:dyDescent="0.2">
      <c r="A14" s="60">
        <v>6</v>
      </c>
      <c r="B14" s="188" t="str">
        <f>_Pgm6</f>
        <v>Enhanced Crisis Response</v>
      </c>
      <c r="C14" s="204"/>
      <c r="D14" s="204"/>
      <c r="E14" s="205"/>
      <c r="F14" s="54">
        <f>'CSS Pgm 6'!G$59</f>
        <v>870883</v>
      </c>
      <c r="G14" s="54">
        <f>'CSS Pgm 6'!H$59</f>
        <v>548396.00000370294</v>
      </c>
      <c r="H14" s="54">
        <f>'CSS Pgm 6'!I$59</f>
        <v>0</v>
      </c>
      <c r="I14" s="54">
        <f>'CSS Pgm 6'!J$59</f>
        <v>0</v>
      </c>
      <c r="J14" s="54">
        <f>'CSS Pgm 6'!K$59</f>
        <v>322486.999996297</v>
      </c>
      <c r="K14" s="54">
        <f>'CSS Pgm 6'!L$59</f>
        <v>0</v>
      </c>
      <c r="L14" s="54">
        <f>'CSS Pgm 6'!M$59</f>
        <v>0</v>
      </c>
      <c r="M14" s="54">
        <f>'CSS Pgm 6'!N$59</f>
        <v>0</v>
      </c>
      <c r="N14" s="54">
        <f>'CSS Pgm 6'!O$59</f>
        <v>0</v>
      </c>
      <c r="O14" s="54">
        <f>'CSS Pgm 6'!P$59</f>
        <v>0</v>
      </c>
      <c r="P14" s="77">
        <f t="shared" si="1"/>
        <v>870883</v>
      </c>
      <c r="Q14" s="77" t="b">
        <f t="shared" si="0"/>
        <v>1</v>
      </c>
      <c r="R14" s="77">
        <f t="shared" si="2"/>
        <v>870883</v>
      </c>
    </row>
    <row r="15" spans="1:18" ht="12" customHeight="1" x14ac:dyDescent="0.2">
      <c r="A15" s="60">
        <v>7</v>
      </c>
      <c r="B15" s="188" t="str">
        <f>_Pgm7</f>
        <v>Consumer, Peer, and Family Services</v>
      </c>
      <c r="C15" s="204"/>
      <c r="D15" s="204"/>
      <c r="E15" s="205"/>
      <c r="F15" s="54">
        <f>'CSS Pgm 7'!G$59</f>
        <v>551938</v>
      </c>
      <c r="G15" s="54">
        <f>'CSS Pgm 7'!H$59</f>
        <v>489561.0000011301</v>
      </c>
      <c r="H15" s="54">
        <f>'CSS Pgm 7'!I$59</f>
        <v>0</v>
      </c>
      <c r="I15" s="54">
        <f>'CSS Pgm 7'!J$59</f>
        <v>0</v>
      </c>
      <c r="J15" s="54">
        <f>'CSS Pgm 7'!K$59</f>
        <v>62376.999998869862</v>
      </c>
      <c r="K15" s="54">
        <f>'CSS Pgm 7'!L$59</f>
        <v>0</v>
      </c>
      <c r="L15" s="54">
        <f>'CSS Pgm 7'!M$59</f>
        <v>0</v>
      </c>
      <c r="M15" s="54">
        <f>'CSS Pgm 7'!N$59</f>
        <v>0</v>
      </c>
      <c r="N15" s="54">
        <f>'CSS Pgm 7'!O$59</f>
        <v>0</v>
      </c>
      <c r="O15" s="54">
        <f>'CSS Pgm 7'!P$59</f>
        <v>0</v>
      </c>
      <c r="P15" s="77">
        <f t="shared" si="1"/>
        <v>551938</v>
      </c>
      <c r="Q15" s="77" t="b">
        <f t="shared" si="0"/>
        <v>1</v>
      </c>
      <c r="R15" s="77">
        <f t="shared" si="2"/>
        <v>551938</v>
      </c>
    </row>
    <row r="16" spans="1:18" ht="12" customHeight="1" x14ac:dyDescent="0.2">
      <c r="A16" s="60">
        <v>8</v>
      </c>
      <c r="B16" s="188" t="str">
        <f>_Pgm8</f>
        <v>Community Support Services</v>
      </c>
      <c r="C16" s="204"/>
      <c r="D16" s="204"/>
      <c r="E16" s="205"/>
      <c r="F16" s="54">
        <f>'CSS Pgm 8'!G$59</f>
        <v>236328</v>
      </c>
      <c r="G16" s="54">
        <f>'CSS Pgm 8'!H$59</f>
        <v>186796.00000209588</v>
      </c>
      <c r="H16" s="54">
        <f>'CSS Pgm 8'!I$59</f>
        <v>0</v>
      </c>
      <c r="I16" s="54">
        <f>'CSS Pgm 8'!J$59</f>
        <v>0</v>
      </c>
      <c r="J16" s="54">
        <f>'CSS Pgm 8'!K$59</f>
        <v>49531.999997904102</v>
      </c>
      <c r="K16" s="54">
        <f>'CSS Pgm 8'!L$59</f>
        <v>0</v>
      </c>
      <c r="L16" s="54">
        <f>'CSS Pgm 8'!M$59</f>
        <v>0</v>
      </c>
      <c r="M16" s="54">
        <f>'CSS Pgm 8'!N$59</f>
        <v>0</v>
      </c>
      <c r="N16" s="54">
        <f>'CSS Pgm 8'!O$59</f>
        <v>0</v>
      </c>
      <c r="O16" s="54">
        <f>'CSS Pgm 8'!P$59</f>
        <v>0</v>
      </c>
      <c r="P16" s="77">
        <f t="shared" si="1"/>
        <v>236328</v>
      </c>
      <c r="Q16" s="77" t="b">
        <f t="shared" si="0"/>
        <v>1</v>
      </c>
      <c r="R16" s="77">
        <f t="shared" si="2"/>
        <v>236328</v>
      </c>
    </row>
    <row r="17" spans="1:18" ht="12" customHeight="1" x14ac:dyDescent="0.2">
      <c r="A17" s="60">
        <v>9</v>
      </c>
      <c r="B17" s="188" t="str">
        <f>_Pgm9</f>
        <v>Person Centered Program of Mental Health Services and Supports</v>
      </c>
      <c r="C17" s="204"/>
      <c r="D17" s="204"/>
      <c r="E17" s="205"/>
      <c r="F17" s="54">
        <f>'CSS Pgm 9'!G$59</f>
        <v>2503206.0000000005</v>
      </c>
      <c r="G17" s="54">
        <f>'CSS Pgm 9'!H$59</f>
        <v>1849709.0000031996</v>
      </c>
      <c r="H17" s="54">
        <f>'CSS Pgm 9'!I$59</f>
        <v>0</v>
      </c>
      <c r="I17" s="54">
        <f>'CSS Pgm 9'!J$59</f>
        <v>0</v>
      </c>
      <c r="J17" s="54">
        <f>'CSS Pgm 9'!K$59</f>
        <v>653496.99999680044</v>
      </c>
      <c r="K17" s="54">
        <f>'CSS Pgm 9'!L$59</f>
        <v>0</v>
      </c>
      <c r="L17" s="54">
        <f>'CSS Pgm 9'!M$59</f>
        <v>0</v>
      </c>
      <c r="M17" s="54">
        <f>'CSS Pgm 9'!N$59</f>
        <v>0</v>
      </c>
      <c r="N17" s="54">
        <f>'CSS Pgm 9'!O$59</f>
        <v>0</v>
      </c>
      <c r="O17" s="54">
        <f>'CSS Pgm 9'!P$59</f>
        <v>0</v>
      </c>
      <c r="P17" s="77">
        <f t="shared" si="1"/>
        <v>2503206</v>
      </c>
      <c r="Q17" s="77" t="b">
        <f t="shared" si="0"/>
        <v>1</v>
      </c>
      <c r="R17" s="77">
        <f t="shared" si="2"/>
        <v>2503206.0000000005</v>
      </c>
    </row>
    <row r="18" spans="1:18" ht="12" customHeight="1" x14ac:dyDescent="0.2">
      <c r="A18" s="60">
        <v>10</v>
      </c>
      <c r="B18" s="188">
        <f>_pgm10</f>
        <v>0</v>
      </c>
      <c r="C18" s="204"/>
      <c r="D18" s="204"/>
      <c r="E18" s="205"/>
      <c r="F18" s="54">
        <f>'CSS Pgm 10'!G$59</f>
        <v>4.0000000000000001E-8</v>
      </c>
      <c r="G18" s="54">
        <f>'CSS Pgm 10'!H$59</f>
        <v>4.0000000000000001E-8</v>
      </c>
      <c r="H18" s="54">
        <f>'CSS Pgm 10'!I$59</f>
        <v>0</v>
      </c>
      <c r="I18" s="54">
        <f>'CSS Pgm 10'!J$59</f>
        <v>0</v>
      </c>
      <c r="J18" s="54">
        <f>'CSS Pgm 10'!K$59</f>
        <v>0</v>
      </c>
      <c r="K18" s="54">
        <f>'CSS Pgm 10'!L$59</f>
        <v>0</v>
      </c>
      <c r="L18" s="54">
        <f>'CSS Pgm 10'!M$59</f>
        <v>0</v>
      </c>
      <c r="M18" s="54">
        <f>'CSS Pgm 10'!N$59</f>
        <v>0</v>
      </c>
      <c r="N18" s="54">
        <f>'CSS Pgm 10'!O$59</f>
        <v>0</v>
      </c>
      <c r="O18" s="54">
        <f>'CSS Pgm 10'!P$59</f>
        <v>0</v>
      </c>
      <c r="P18" s="77">
        <f t="shared" si="1"/>
        <v>4.0000000000000001E-8</v>
      </c>
      <c r="Q18" s="77" t="b">
        <f t="shared" si="0"/>
        <v>1</v>
      </c>
      <c r="R18" s="77">
        <f t="shared" si="2"/>
        <v>4.0000000000000001E-8</v>
      </c>
    </row>
    <row r="19" spans="1:18" ht="12" customHeight="1" x14ac:dyDescent="0.2">
      <c r="A19" s="60">
        <v>11</v>
      </c>
      <c r="B19" s="188">
        <f>_Pgm11</f>
        <v>0</v>
      </c>
      <c r="C19" s="204"/>
      <c r="D19" s="204"/>
      <c r="E19" s="205"/>
      <c r="F19" s="54">
        <f>'CSS Pgm 11'!G$59</f>
        <v>0</v>
      </c>
      <c r="G19" s="54">
        <f>'CSS Pgm 11'!H$59</f>
        <v>0</v>
      </c>
      <c r="H19" s="54">
        <f>'CSS Pgm 11'!I$59</f>
        <v>0</v>
      </c>
      <c r="I19" s="54">
        <f>'CSS Pgm 11'!J$59</f>
        <v>0</v>
      </c>
      <c r="J19" s="54">
        <f>'CSS Pgm 11'!K$59</f>
        <v>0</v>
      </c>
      <c r="K19" s="54">
        <f>'CSS Pgm 11'!L$59</f>
        <v>0</v>
      </c>
      <c r="L19" s="54">
        <f>'CSS Pgm 11'!M$59</f>
        <v>0</v>
      </c>
      <c r="M19" s="54">
        <f>'CSS Pgm 11'!N$59</f>
        <v>0</v>
      </c>
      <c r="N19" s="54">
        <f>'CSS Pgm 11'!O$59</f>
        <v>0</v>
      </c>
      <c r="O19" s="54">
        <f>'CSS Pgm 11'!P$59</f>
        <v>0</v>
      </c>
      <c r="P19" s="77">
        <f t="shared" si="1"/>
        <v>0</v>
      </c>
      <c r="Q19" s="77" t="b">
        <f t="shared" si="0"/>
        <v>1</v>
      </c>
      <c r="R19" s="77">
        <f t="shared" si="2"/>
        <v>0</v>
      </c>
    </row>
    <row r="20" spans="1:18" ht="12" customHeight="1" x14ac:dyDescent="0.2">
      <c r="A20" s="60">
        <v>12</v>
      </c>
      <c r="B20" s="188">
        <f>_Pgm12</f>
        <v>0</v>
      </c>
      <c r="C20" s="204"/>
      <c r="D20" s="204"/>
      <c r="E20" s="205"/>
      <c r="F20" s="54">
        <f>'CSS Pgm 12'!G$59</f>
        <v>0</v>
      </c>
      <c r="G20" s="54">
        <f>'CSS Pgm 12'!H$59</f>
        <v>0</v>
      </c>
      <c r="H20" s="54">
        <f>'CSS Pgm 12'!I$59</f>
        <v>0</v>
      </c>
      <c r="I20" s="54">
        <f>'CSS Pgm 12'!J$59</f>
        <v>0</v>
      </c>
      <c r="J20" s="54">
        <f>'CSS Pgm 12'!K$59</f>
        <v>0</v>
      </c>
      <c r="K20" s="54">
        <f>'CSS Pgm 12'!L$59</f>
        <v>0</v>
      </c>
      <c r="L20" s="54">
        <f>'CSS Pgm 12'!M$59</f>
        <v>0</v>
      </c>
      <c r="M20" s="54">
        <f>'CSS Pgm 12'!N$59</f>
        <v>0</v>
      </c>
      <c r="N20" s="54">
        <f>'CSS Pgm 12'!O$59</f>
        <v>0</v>
      </c>
      <c r="O20" s="54">
        <f>'CSS Pgm 12'!P$59</f>
        <v>0</v>
      </c>
      <c r="P20" s="77">
        <f t="shared" si="1"/>
        <v>0</v>
      </c>
      <c r="Q20" s="77" t="b">
        <f t="shared" si="0"/>
        <v>1</v>
      </c>
      <c r="R20" s="77">
        <f t="shared" si="2"/>
        <v>0</v>
      </c>
    </row>
    <row r="21" spans="1:18" ht="12" customHeight="1" x14ac:dyDescent="0.2">
      <c r="A21" s="60">
        <v>13</v>
      </c>
      <c r="B21" s="188">
        <f>_Pgm13</f>
        <v>0</v>
      </c>
      <c r="C21" s="204"/>
      <c r="D21" s="204"/>
      <c r="E21" s="205"/>
      <c r="F21" s="54">
        <f>'CSS Pgm 13'!G$59</f>
        <v>0</v>
      </c>
      <c r="G21" s="54">
        <f>'CSS Pgm 13'!H$59</f>
        <v>0</v>
      </c>
      <c r="H21" s="54">
        <f>'CSS Pgm 13'!I$59</f>
        <v>0</v>
      </c>
      <c r="I21" s="54">
        <f>'CSS Pgm 13'!J$59</f>
        <v>0</v>
      </c>
      <c r="J21" s="54">
        <f>'CSS Pgm 13'!K$59</f>
        <v>0</v>
      </c>
      <c r="K21" s="54">
        <f>'CSS Pgm 13'!L$59</f>
        <v>0</v>
      </c>
      <c r="L21" s="54">
        <f>'CSS Pgm 13'!M$59</f>
        <v>0</v>
      </c>
      <c r="M21" s="54">
        <f>'CSS Pgm 13'!N$59</f>
        <v>0</v>
      </c>
      <c r="N21" s="54">
        <f>'CSS Pgm 13'!O$59</f>
        <v>0</v>
      </c>
      <c r="O21" s="54">
        <f>'CSS Pgm 13'!P$59</f>
        <v>0</v>
      </c>
      <c r="P21" s="77">
        <f t="shared" si="1"/>
        <v>0</v>
      </c>
      <c r="Q21" s="77" t="b">
        <f t="shared" si="0"/>
        <v>1</v>
      </c>
      <c r="R21" s="77">
        <f t="shared" si="2"/>
        <v>0</v>
      </c>
    </row>
    <row r="22" spans="1:18" ht="12" customHeight="1" x14ac:dyDescent="0.2">
      <c r="A22" s="60">
        <v>14</v>
      </c>
      <c r="B22" s="188">
        <f>_Pgm14</f>
        <v>0</v>
      </c>
      <c r="C22" s="204"/>
      <c r="D22" s="204"/>
      <c r="E22" s="205"/>
      <c r="F22" s="54">
        <f>'CSS Pgm 14'!G$59</f>
        <v>0</v>
      </c>
      <c r="G22" s="54">
        <f>'CSS Pgm 14'!H$59</f>
        <v>0</v>
      </c>
      <c r="H22" s="54">
        <f>'CSS Pgm 14'!I$59</f>
        <v>0</v>
      </c>
      <c r="I22" s="54">
        <f>'CSS Pgm 14'!J$59</f>
        <v>0</v>
      </c>
      <c r="J22" s="54">
        <f>'CSS Pgm 14'!K$59</f>
        <v>0</v>
      </c>
      <c r="K22" s="54">
        <f>'CSS Pgm 14'!L$59</f>
        <v>0</v>
      </c>
      <c r="L22" s="54">
        <f>'CSS Pgm 14'!M$59</f>
        <v>0</v>
      </c>
      <c r="M22" s="54">
        <f>'CSS Pgm 14'!N$59</f>
        <v>0</v>
      </c>
      <c r="N22" s="54">
        <f>'CSS Pgm 14'!O$59</f>
        <v>0</v>
      </c>
      <c r="O22" s="54">
        <f>'CSS Pgm 14'!P$59</f>
        <v>0</v>
      </c>
      <c r="P22" s="77">
        <f t="shared" si="1"/>
        <v>0</v>
      </c>
      <c r="Q22" s="77" t="b">
        <f t="shared" si="0"/>
        <v>1</v>
      </c>
      <c r="R22" s="77">
        <f t="shared" si="2"/>
        <v>0</v>
      </c>
    </row>
    <row r="23" spans="1:18" ht="12" customHeight="1" x14ac:dyDescent="0.2">
      <c r="A23" s="60">
        <v>15</v>
      </c>
      <c r="B23" s="188">
        <f>_Pgm15</f>
        <v>0</v>
      </c>
      <c r="C23" s="204"/>
      <c r="D23" s="204"/>
      <c r="E23" s="205"/>
      <c r="F23" s="54">
        <f>'CSS Pgm 15'!G$59</f>
        <v>0</v>
      </c>
      <c r="G23" s="54">
        <f>'CSS Pgm 15'!H$59</f>
        <v>0</v>
      </c>
      <c r="H23" s="54">
        <f>'CSS Pgm 15'!I$59</f>
        <v>0</v>
      </c>
      <c r="I23" s="54">
        <f>'CSS Pgm 15'!J$59</f>
        <v>0</v>
      </c>
      <c r="J23" s="54">
        <f>'CSS Pgm 15'!K$59</f>
        <v>0</v>
      </c>
      <c r="K23" s="54">
        <f>'CSS Pgm 15'!L$59</f>
        <v>0</v>
      </c>
      <c r="L23" s="54">
        <f>'CSS Pgm 15'!M$59</f>
        <v>0</v>
      </c>
      <c r="M23" s="54">
        <f>'CSS Pgm 15'!N$59</f>
        <v>0</v>
      </c>
      <c r="N23" s="54">
        <f>'CSS Pgm 15'!O$59</f>
        <v>0</v>
      </c>
      <c r="O23" s="54">
        <f>'CSS Pgm 15'!P$59</f>
        <v>0</v>
      </c>
      <c r="P23" s="77">
        <f>SUM(G23:O23)</f>
        <v>0</v>
      </c>
      <c r="Q23" s="77" t="b">
        <f>EXACT(P23,R23)</f>
        <v>1</v>
      </c>
      <c r="R23" s="77">
        <f>F23</f>
        <v>0</v>
      </c>
    </row>
    <row r="24" spans="1:18" ht="12" customHeight="1" x14ac:dyDescent="0.2">
      <c r="A24" s="60">
        <v>16</v>
      </c>
      <c r="B24" s="188"/>
      <c r="C24" s="204"/>
      <c r="D24" s="204"/>
      <c r="E24" s="205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77">
        <f>SUM(G24:O24)</f>
        <v>0</v>
      </c>
      <c r="Q24" s="77" t="b">
        <f t="shared" ref="Q24:Q34" si="3">EXACT(P24,R24)</f>
        <v>1</v>
      </c>
      <c r="R24" s="77">
        <f>F24</f>
        <v>0</v>
      </c>
    </row>
    <row r="25" spans="1:18" ht="12" customHeight="1" x14ac:dyDescent="0.2">
      <c r="A25" s="60">
        <v>17</v>
      </c>
      <c r="B25" s="188"/>
      <c r="C25" s="204"/>
      <c r="D25" s="204"/>
      <c r="E25" s="205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77">
        <f>SUM(G25:O25)</f>
        <v>0</v>
      </c>
      <c r="Q25" s="77" t="b">
        <f t="shared" si="3"/>
        <v>1</v>
      </c>
      <c r="R25" s="77">
        <f>F25</f>
        <v>0</v>
      </c>
    </row>
    <row r="26" spans="1:18" ht="12" customHeight="1" x14ac:dyDescent="0.2">
      <c r="A26" s="60">
        <v>18</v>
      </c>
      <c r="B26" s="188"/>
      <c r="C26" s="204"/>
      <c r="D26" s="204"/>
      <c r="E26" s="205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77">
        <f t="shared" ref="P26:P34" si="4">SUM(G26:O26)</f>
        <v>0</v>
      </c>
      <c r="Q26" s="77" t="b">
        <f t="shared" si="3"/>
        <v>1</v>
      </c>
      <c r="R26" s="77">
        <f t="shared" ref="R26:R34" si="5">F26</f>
        <v>0</v>
      </c>
    </row>
    <row r="27" spans="1:18" ht="12" customHeight="1" x14ac:dyDescent="0.2">
      <c r="A27" s="60">
        <v>19</v>
      </c>
      <c r="B27" s="188"/>
      <c r="C27" s="204"/>
      <c r="D27" s="204"/>
      <c r="E27" s="205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77">
        <f t="shared" si="4"/>
        <v>0</v>
      </c>
      <c r="Q27" s="77" t="b">
        <f t="shared" si="3"/>
        <v>1</v>
      </c>
      <c r="R27" s="77">
        <f t="shared" si="5"/>
        <v>0</v>
      </c>
    </row>
    <row r="28" spans="1:18" ht="12" customHeight="1" x14ac:dyDescent="0.2">
      <c r="A28" s="60">
        <v>20</v>
      </c>
      <c r="B28" s="188"/>
      <c r="C28" s="204"/>
      <c r="D28" s="204"/>
      <c r="E28" s="205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77">
        <f t="shared" si="4"/>
        <v>0</v>
      </c>
      <c r="Q28" s="77" t="b">
        <f t="shared" si="3"/>
        <v>1</v>
      </c>
      <c r="R28" s="77">
        <f t="shared" si="5"/>
        <v>0</v>
      </c>
    </row>
    <row r="29" spans="1:18" ht="12" customHeight="1" x14ac:dyDescent="0.2">
      <c r="A29" s="60">
        <v>21</v>
      </c>
      <c r="B29" s="188"/>
      <c r="C29" s="204"/>
      <c r="D29" s="204"/>
      <c r="E29" s="205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77">
        <f t="shared" si="4"/>
        <v>0</v>
      </c>
      <c r="Q29" s="77" t="b">
        <f t="shared" si="3"/>
        <v>1</v>
      </c>
      <c r="R29" s="77">
        <f t="shared" si="5"/>
        <v>0</v>
      </c>
    </row>
    <row r="30" spans="1:18" ht="12" customHeight="1" x14ac:dyDescent="0.2">
      <c r="A30" s="60">
        <v>22</v>
      </c>
      <c r="B30" s="188"/>
      <c r="C30" s="204"/>
      <c r="D30" s="204"/>
      <c r="E30" s="205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77">
        <f t="shared" si="4"/>
        <v>0</v>
      </c>
      <c r="Q30" s="77" t="b">
        <f t="shared" si="3"/>
        <v>1</v>
      </c>
      <c r="R30" s="77">
        <f t="shared" si="5"/>
        <v>0</v>
      </c>
    </row>
    <row r="31" spans="1:18" ht="12" customHeight="1" x14ac:dyDescent="0.2">
      <c r="A31" s="60">
        <v>23</v>
      </c>
      <c r="B31" s="188"/>
      <c r="C31" s="204"/>
      <c r="D31" s="204"/>
      <c r="E31" s="205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77">
        <f t="shared" si="4"/>
        <v>0</v>
      </c>
      <c r="Q31" s="77" t="b">
        <f t="shared" si="3"/>
        <v>1</v>
      </c>
      <c r="R31" s="77">
        <f t="shared" si="5"/>
        <v>0</v>
      </c>
    </row>
    <row r="32" spans="1:18" ht="12" customHeight="1" x14ac:dyDescent="0.2">
      <c r="A32" s="60">
        <v>24</v>
      </c>
      <c r="B32" s="188"/>
      <c r="C32" s="204"/>
      <c r="D32" s="204"/>
      <c r="E32" s="205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77">
        <f t="shared" si="4"/>
        <v>0</v>
      </c>
      <c r="Q32" s="77" t="b">
        <f t="shared" si="3"/>
        <v>1</v>
      </c>
      <c r="R32" s="77">
        <f t="shared" si="5"/>
        <v>0</v>
      </c>
    </row>
    <row r="33" spans="1:18" ht="12" customHeight="1" x14ac:dyDescent="0.2">
      <c r="A33" s="60">
        <v>25</v>
      </c>
      <c r="B33" s="188"/>
      <c r="C33" s="204"/>
      <c r="D33" s="204"/>
      <c r="E33" s="205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77">
        <f t="shared" si="4"/>
        <v>0</v>
      </c>
      <c r="Q33" s="77" t="b">
        <f t="shared" si="3"/>
        <v>1</v>
      </c>
      <c r="R33" s="77">
        <f t="shared" si="5"/>
        <v>0</v>
      </c>
    </row>
    <row r="34" spans="1:18" ht="12" customHeight="1" x14ac:dyDescent="0.2">
      <c r="A34" s="55"/>
      <c r="B34" s="56" t="s">
        <v>39</v>
      </c>
      <c r="C34" s="56"/>
      <c r="D34" s="56"/>
      <c r="E34" s="57"/>
      <c r="F34" s="58">
        <f>SUM(F9:F33)</f>
        <v>5037476.00000004</v>
      </c>
      <c r="G34" s="58">
        <f t="shared" ref="G34:O34" si="6">SUM(G9:G33)</f>
        <v>3430579.0000860561</v>
      </c>
      <c r="H34" s="58">
        <f t="shared" si="6"/>
        <v>240422.99996448401</v>
      </c>
      <c r="I34" s="58">
        <f t="shared" si="6"/>
        <v>0</v>
      </c>
      <c r="J34" s="58">
        <f t="shared" si="6"/>
        <v>1366473.9999494997</v>
      </c>
      <c r="K34" s="58">
        <f t="shared" si="6"/>
        <v>0</v>
      </c>
      <c r="L34" s="58">
        <f t="shared" si="6"/>
        <v>0</v>
      </c>
      <c r="M34" s="58">
        <f t="shared" si="6"/>
        <v>0</v>
      </c>
      <c r="N34" s="58">
        <f t="shared" si="6"/>
        <v>0</v>
      </c>
      <c r="O34" s="58">
        <f t="shared" si="6"/>
        <v>0</v>
      </c>
      <c r="P34" s="77">
        <f t="shared" si="4"/>
        <v>5037476.00000004</v>
      </c>
      <c r="Q34" s="77" t="b">
        <f t="shared" si="3"/>
        <v>1</v>
      </c>
      <c r="R34" s="77">
        <f t="shared" si="5"/>
        <v>5037476.00000004</v>
      </c>
    </row>
    <row r="35" spans="1:18" ht="15" customHeight="1" x14ac:dyDescent="0.25">
      <c r="A35" s="86" t="s">
        <v>81</v>
      </c>
      <c r="B35" s="87"/>
      <c r="C35" s="87"/>
      <c r="D35" s="87"/>
      <c r="E35" s="88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77">
        <f>SUM(G35:O35)</f>
        <v>0</v>
      </c>
      <c r="Q35" s="77" t="b">
        <f>EXACT(P35,R35)</f>
        <v>1</v>
      </c>
      <c r="R35" s="77">
        <f>F35</f>
        <v>0</v>
      </c>
    </row>
    <row r="36" spans="1:18" ht="15" customHeight="1" x14ac:dyDescent="0.25">
      <c r="A36" s="51"/>
      <c r="B36" s="52" t="s">
        <v>82</v>
      </c>
      <c r="C36" s="52"/>
      <c r="D36" s="52"/>
      <c r="E36" s="53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77">
        <f>SUM(G36:O36)</f>
        <v>0</v>
      </c>
      <c r="Q36" s="77" t="b">
        <f t="shared" ref="Q36:Q49" si="7">EXACT(P36,R36)</f>
        <v>1</v>
      </c>
      <c r="R36" s="77">
        <f>F36</f>
        <v>0</v>
      </c>
    </row>
    <row r="37" spans="1:18" ht="12" customHeight="1" x14ac:dyDescent="0.2">
      <c r="A37" s="60"/>
      <c r="B37" s="52"/>
      <c r="C37" s="52" t="s">
        <v>37</v>
      </c>
      <c r="D37" s="52"/>
      <c r="E37" s="53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77">
        <f>SUM(G37:O37)</f>
        <v>0</v>
      </c>
      <c r="Q37" s="77" t="b">
        <f t="shared" si="7"/>
        <v>1</v>
      </c>
      <c r="R37" s="77">
        <f>F37</f>
        <v>0</v>
      </c>
    </row>
    <row r="38" spans="1:18" ht="12" customHeight="1" x14ac:dyDescent="0.2">
      <c r="A38" s="60"/>
      <c r="B38" s="113"/>
      <c r="C38" s="52" t="s">
        <v>60</v>
      </c>
      <c r="D38" s="52"/>
      <c r="E38" s="53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77">
        <f t="shared" ref="P38:P49" si="8">SUM(G38:O38)</f>
        <v>0</v>
      </c>
      <c r="Q38" s="77" t="b">
        <f t="shared" si="7"/>
        <v>1</v>
      </c>
      <c r="R38" s="77">
        <f t="shared" ref="R38:R49" si="9">F38</f>
        <v>0</v>
      </c>
    </row>
    <row r="39" spans="1:18" ht="12" customHeight="1" x14ac:dyDescent="0.2">
      <c r="A39" s="60"/>
      <c r="B39" s="52"/>
      <c r="C39" s="52" t="s">
        <v>40</v>
      </c>
      <c r="D39" s="52"/>
      <c r="E39" s="53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77">
        <f t="shared" si="8"/>
        <v>0</v>
      </c>
      <c r="Q39" s="77" t="b">
        <f t="shared" si="7"/>
        <v>1</v>
      </c>
      <c r="R39" s="77">
        <f t="shared" si="9"/>
        <v>0</v>
      </c>
    </row>
    <row r="40" spans="1:18" ht="12" customHeight="1" x14ac:dyDescent="0.2">
      <c r="A40" s="60"/>
      <c r="B40" s="52"/>
      <c r="C40" s="113" t="s">
        <v>83</v>
      </c>
      <c r="D40" s="52"/>
      <c r="E40" s="53"/>
      <c r="F40" s="54">
        <f t="shared" ref="F40:O40" si="10">SUM(F37:F39)</f>
        <v>0</v>
      </c>
      <c r="G40" s="54">
        <f t="shared" si="10"/>
        <v>0</v>
      </c>
      <c r="H40" s="54">
        <f t="shared" si="10"/>
        <v>0</v>
      </c>
      <c r="I40" s="54">
        <f t="shared" si="10"/>
        <v>0</v>
      </c>
      <c r="J40" s="54">
        <f t="shared" si="10"/>
        <v>0</v>
      </c>
      <c r="K40" s="54">
        <f t="shared" si="10"/>
        <v>0</v>
      </c>
      <c r="L40" s="54">
        <f t="shared" si="10"/>
        <v>0</v>
      </c>
      <c r="M40" s="54">
        <f t="shared" si="10"/>
        <v>0</v>
      </c>
      <c r="N40" s="54">
        <f t="shared" si="10"/>
        <v>0</v>
      </c>
      <c r="O40" s="54">
        <f t="shared" si="10"/>
        <v>0</v>
      </c>
      <c r="P40" s="77">
        <f t="shared" si="8"/>
        <v>0</v>
      </c>
      <c r="Q40" s="77" t="b">
        <f t="shared" si="7"/>
        <v>1</v>
      </c>
      <c r="R40" s="77">
        <f t="shared" si="9"/>
        <v>0</v>
      </c>
    </row>
    <row r="41" spans="1:18" ht="12.75" customHeight="1" x14ac:dyDescent="0.25">
      <c r="A41" s="51"/>
      <c r="B41" s="52" t="s">
        <v>59</v>
      </c>
      <c r="C41" s="52"/>
      <c r="D41" s="52"/>
      <c r="E41" s="53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77">
        <f t="shared" si="8"/>
        <v>0</v>
      </c>
      <c r="Q41" s="77" t="b">
        <f t="shared" si="7"/>
        <v>1</v>
      </c>
      <c r="R41" s="77">
        <f t="shared" si="9"/>
        <v>0</v>
      </c>
    </row>
    <row r="42" spans="1:18" ht="12" customHeight="1" x14ac:dyDescent="0.2">
      <c r="A42" s="60"/>
      <c r="B42" s="52"/>
      <c r="C42" s="52" t="s">
        <v>37</v>
      </c>
      <c r="D42" s="52"/>
      <c r="E42" s="53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77">
        <f t="shared" si="8"/>
        <v>0</v>
      </c>
      <c r="Q42" s="77" t="b">
        <f t="shared" si="7"/>
        <v>1</v>
      </c>
      <c r="R42" s="77">
        <f t="shared" si="9"/>
        <v>0</v>
      </c>
    </row>
    <row r="43" spans="1:18" ht="12" customHeight="1" x14ac:dyDescent="0.2">
      <c r="A43" s="60"/>
      <c r="B43" s="113"/>
      <c r="C43" s="52" t="s">
        <v>60</v>
      </c>
      <c r="D43" s="52"/>
      <c r="E43" s="53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77">
        <f t="shared" si="8"/>
        <v>0</v>
      </c>
      <c r="Q43" s="77" t="b">
        <f t="shared" si="7"/>
        <v>1</v>
      </c>
      <c r="R43" s="77">
        <f t="shared" si="9"/>
        <v>0</v>
      </c>
    </row>
    <row r="44" spans="1:18" ht="12" customHeight="1" x14ac:dyDescent="0.2">
      <c r="A44" s="60"/>
      <c r="B44" s="52"/>
      <c r="C44" s="52" t="s">
        <v>40</v>
      </c>
      <c r="D44" s="52"/>
      <c r="E44" s="53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77">
        <f t="shared" si="8"/>
        <v>0</v>
      </c>
      <c r="Q44" s="77" t="b">
        <f t="shared" si="7"/>
        <v>1</v>
      </c>
      <c r="R44" s="77">
        <f t="shared" si="9"/>
        <v>0</v>
      </c>
    </row>
    <row r="45" spans="1:18" ht="12" customHeight="1" x14ac:dyDescent="0.2">
      <c r="A45" s="60"/>
      <c r="B45" s="52"/>
      <c r="C45" s="113" t="s">
        <v>67</v>
      </c>
      <c r="D45" s="52"/>
      <c r="E45" s="53"/>
      <c r="F45" s="54">
        <f>SUM(F42:F44)</f>
        <v>0</v>
      </c>
      <c r="G45" s="54">
        <f t="shared" ref="G45:O45" si="11">SUM(G42:G44)</f>
        <v>0</v>
      </c>
      <c r="H45" s="54">
        <f t="shared" si="11"/>
        <v>0</v>
      </c>
      <c r="I45" s="54">
        <f t="shared" si="11"/>
        <v>0</v>
      </c>
      <c r="J45" s="54">
        <f t="shared" si="11"/>
        <v>0</v>
      </c>
      <c r="K45" s="54">
        <f t="shared" si="11"/>
        <v>0</v>
      </c>
      <c r="L45" s="54">
        <f t="shared" si="11"/>
        <v>0</v>
      </c>
      <c r="M45" s="54">
        <f t="shared" si="11"/>
        <v>0</v>
      </c>
      <c r="N45" s="54">
        <f t="shared" si="11"/>
        <v>0</v>
      </c>
      <c r="O45" s="54">
        <f t="shared" si="11"/>
        <v>0</v>
      </c>
      <c r="P45" s="77">
        <f t="shared" si="8"/>
        <v>0</v>
      </c>
      <c r="Q45" s="77" t="b">
        <f t="shared" si="7"/>
        <v>1</v>
      </c>
      <c r="R45" s="77">
        <f t="shared" si="9"/>
        <v>0</v>
      </c>
    </row>
    <row r="46" spans="1:18" ht="15" customHeight="1" x14ac:dyDescent="0.2">
      <c r="A46" s="60"/>
      <c r="B46" s="52" t="s">
        <v>61</v>
      </c>
      <c r="C46" s="113"/>
      <c r="D46" s="52"/>
      <c r="E46" s="53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77">
        <f t="shared" si="8"/>
        <v>0</v>
      </c>
      <c r="Q46" s="77" t="b">
        <f t="shared" si="7"/>
        <v>1</v>
      </c>
      <c r="R46" s="77">
        <f t="shared" si="9"/>
        <v>0</v>
      </c>
    </row>
    <row r="47" spans="1:18" ht="12" customHeight="1" x14ac:dyDescent="0.2">
      <c r="A47" s="60"/>
      <c r="B47" s="52"/>
      <c r="C47" s="52" t="s">
        <v>37</v>
      </c>
      <c r="D47" s="52"/>
      <c r="E47" s="53"/>
      <c r="F47" s="54">
        <f>Worksheet!I23</f>
        <v>439279</v>
      </c>
      <c r="G47" s="54">
        <f>F47-SUM(H47:O47)</f>
        <v>242476.57496942373</v>
      </c>
      <c r="H47" s="54">
        <f>Worksheet!M23*F47/F52</f>
        <v>1444.5170753636507</v>
      </c>
      <c r="I47" s="54"/>
      <c r="J47" s="54">
        <f>Worksheet!N23*F47/F52</f>
        <v>195357.90795521261</v>
      </c>
      <c r="K47" s="54"/>
      <c r="L47" s="54"/>
      <c r="M47" s="54"/>
      <c r="N47" s="54"/>
      <c r="O47" s="54"/>
      <c r="P47" s="77">
        <f t="shared" si="8"/>
        <v>439279</v>
      </c>
      <c r="Q47" s="77" t="b">
        <f t="shared" si="7"/>
        <v>1</v>
      </c>
      <c r="R47" s="77">
        <f t="shared" si="9"/>
        <v>439279</v>
      </c>
    </row>
    <row r="48" spans="1:18" ht="12" customHeight="1" x14ac:dyDescent="0.2">
      <c r="A48" s="60"/>
      <c r="B48" s="52"/>
      <c r="C48" s="52" t="s">
        <v>40</v>
      </c>
      <c r="D48" s="52"/>
      <c r="E48" s="53"/>
      <c r="F48" s="54">
        <f>Worksheet!J23+Worksheet!J26</f>
        <v>563950</v>
      </c>
      <c r="G48" s="54">
        <f>F48-SUM(H48:O48)</f>
        <v>311293.4250305763</v>
      </c>
      <c r="H48" s="54">
        <f>Worksheet!M23-'CSS Summary'!H47</f>
        <v>1854.4829246363493</v>
      </c>
      <c r="I48" s="54"/>
      <c r="J48" s="54">
        <f>Worksheet!N23-'CSS Summary'!J47</f>
        <v>250802.09204478739</v>
      </c>
      <c r="K48" s="54"/>
      <c r="L48" s="54"/>
      <c r="M48" s="54"/>
      <c r="N48" s="54"/>
      <c r="O48" s="54"/>
      <c r="P48" s="77">
        <f t="shared" si="8"/>
        <v>563950</v>
      </c>
      <c r="Q48" s="77" t="b">
        <f t="shared" si="7"/>
        <v>1</v>
      </c>
      <c r="R48" s="77">
        <f t="shared" si="9"/>
        <v>563950</v>
      </c>
    </row>
    <row r="49" spans="1:18" ht="12" customHeight="1" x14ac:dyDescent="0.2">
      <c r="A49" s="60"/>
      <c r="B49" s="113"/>
      <c r="C49" s="52" t="s">
        <v>42</v>
      </c>
      <c r="D49" s="52"/>
      <c r="E49" s="53"/>
      <c r="F49" s="54"/>
      <c r="G49" s="54">
        <f>F49-SUM(H49:O49)</f>
        <v>0</v>
      </c>
      <c r="H49" s="54"/>
      <c r="I49" s="54"/>
      <c r="J49" s="54"/>
      <c r="K49" s="54"/>
      <c r="L49" s="54"/>
      <c r="M49" s="54"/>
      <c r="N49" s="54"/>
      <c r="O49" s="54"/>
      <c r="P49" s="77">
        <f t="shared" si="8"/>
        <v>0</v>
      </c>
      <c r="Q49" s="77" t="b">
        <f t="shared" si="7"/>
        <v>1</v>
      </c>
      <c r="R49" s="77">
        <f t="shared" si="9"/>
        <v>0</v>
      </c>
    </row>
    <row r="50" spans="1:18" ht="12" customHeight="1" x14ac:dyDescent="0.2">
      <c r="A50" s="60"/>
      <c r="B50" s="113"/>
      <c r="C50" s="52" t="s">
        <v>237</v>
      </c>
      <c r="D50" s="52"/>
      <c r="E50" s="53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77">
        <f>SUM(G50:O50)</f>
        <v>0</v>
      </c>
      <c r="Q50" s="77" t="b">
        <f>EXACT(P50,R50)</f>
        <v>1</v>
      </c>
      <c r="R50" s="77">
        <f>F50</f>
        <v>0</v>
      </c>
    </row>
    <row r="51" spans="1:18" ht="12" customHeight="1" x14ac:dyDescent="0.2">
      <c r="A51" s="60"/>
      <c r="B51" s="113"/>
      <c r="C51" s="52" t="s">
        <v>238</v>
      </c>
      <c r="D51" s="52"/>
      <c r="E51" s="53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77">
        <f>SUM(G51:O51)</f>
        <v>0</v>
      </c>
      <c r="Q51" s="77" t="b">
        <f>EXACT(P51,R51)</f>
        <v>1</v>
      </c>
      <c r="R51" s="77">
        <f>F51</f>
        <v>0</v>
      </c>
    </row>
    <row r="52" spans="1:18" ht="12" customHeight="1" x14ac:dyDescent="0.2">
      <c r="A52" s="60"/>
      <c r="B52" s="113"/>
      <c r="C52" s="52" t="s">
        <v>43</v>
      </c>
      <c r="D52" s="52"/>
      <c r="E52" s="53"/>
      <c r="F52" s="54">
        <f>SUM(F47:F51)</f>
        <v>1003229</v>
      </c>
      <c r="G52" s="54">
        <f t="shared" ref="G52:O52" si="12">SUM(G47:G51)</f>
        <v>553770</v>
      </c>
      <c r="H52" s="54">
        <f t="shared" si="12"/>
        <v>3299</v>
      </c>
      <c r="I52" s="54">
        <f t="shared" si="12"/>
        <v>0</v>
      </c>
      <c r="J52" s="54">
        <f t="shared" si="12"/>
        <v>446160</v>
      </c>
      <c r="K52" s="54">
        <f t="shared" si="12"/>
        <v>0</v>
      </c>
      <c r="L52" s="54">
        <f t="shared" si="12"/>
        <v>0</v>
      </c>
      <c r="M52" s="54">
        <f t="shared" si="12"/>
        <v>0</v>
      </c>
      <c r="N52" s="54">
        <f t="shared" si="12"/>
        <v>0</v>
      </c>
      <c r="O52" s="54">
        <f t="shared" si="12"/>
        <v>0</v>
      </c>
      <c r="P52" s="77">
        <f>SUM(G52:O52)</f>
        <v>1003229</v>
      </c>
      <c r="Q52" s="77" t="b">
        <f>EXACT(P52,R52)</f>
        <v>1</v>
      </c>
      <c r="R52" s="77">
        <f>F52</f>
        <v>1003229</v>
      </c>
    </row>
    <row r="53" spans="1:18" ht="12" customHeight="1" x14ac:dyDescent="0.2">
      <c r="A53" s="60"/>
      <c r="B53" s="113" t="s">
        <v>84</v>
      </c>
      <c r="C53" s="52"/>
      <c r="D53" s="52"/>
      <c r="E53" s="53"/>
      <c r="F53" s="54">
        <f>F40+F45+F52</f>
        <v>1003229</v>
      </c>
      <c r="G53" s="54">
        <f t="shared" ref="G53:O53" si="13">G40+G45+G52</f>
        <v>553770</v>
      </c>
      <c r="H53" s="54">
        <f t="shared" si="13"/>
        <v>3299</v>
      </c>
      <c r="I53" s="54">
        <f t="shared" si="13"/>
        <v>0</v>
      </c>
      <c r="J53" s="54">
        <f t="shared" si="13"/>
        <v>446160</v>
      </c>
      <c r="K53" s="54">
        <f t="shared" si="13"/>
        <v>0</v>
      </c>
      <c r="L53" s="54">
        <f t="shared" si="13"/>
        <v>0</v>
      </c>
      <c r="M53" s="54">
        <f t="shared" si="13"/>
        <v>0</v>
      </c>
      <c r="N53" s="54">
        <f t="shared" si="13"/>
        <v>0</v>
      </c>
      <c r="O53" s="54">
        <f t="shared" si="13"/>
        <v>0</v>
      </c>
      <c r="P53" s="77">
        <f>SUM(G53:O53)</f>
        <v>1003229</v>
      </c>
      <c r="Q53" s="77" t="b">
        <f>EXACT(P53,R53)</f>
        <v>1</v>
      </c>
      <c r="R53" s="77">
        <f>F53</f>
        <v>1003229</v>
      </c>
    </row>
    <row r="54" spans="1:18" ht="18.75" customHeight="1" x14ac:dyDescent="0.25">
      <c r="A54" s="67" t="s">
        <v>41</v>
      </c>
      <c r="B54" s="68"/>
      <c r="C54" s="68"/>
      <c r="D54" s="68"/>
      <c r="E54" s="114"/>
      <c r="F54" s="70">
        <f>F53+F34</f>
        <v>6040705.00000004</v>
      </c>
      <c r="G54" s="70">
        <f t="shared" ref="G54:O54" si="14">G53+G34</f>
        <v>3984349.0000860561</v>
      </c>
      <c r="H54" s="70">
        <f t="shared" si="14"/>
        <v>243721.99996448401</v>
      </c>
      <c r="I54" s="70">
        <f t="shared" si="14"/>
        <v>0</v>
      </c>
      <c r="J54" s="70">
        <f t="shared" si="14"/>
        <v>1812633.9999494997</v>
      </c>
      <c r="K54" s="70">
        <f t="shared" si="14"/>
        <v>0</v>
      </c>
      <c r="L54" s="70">
        <f t="shared" si="14"/>
        <v>0</v>
      </c>
      <c r="M54" s="70">
        <f t="shared" si="14"/>
        <v>0</v>
      </c>
      <c r="N54" s="70">
        <f t="shared" si="14"/>
        <v>0</v>
      </c>
      <c r="O54" s="70">
        <f t="shared" si="14"/>
        <v>0</v>
      </c>
      <c r="P54" s="77">
        <f>SUM(G54:O54)</f>
        <v>6040705.00000004</v>
      </c>
      <c r="Q54" s="77" t="b">
        <f>EXACT(P54,R54)</f>
        <v>1</v>
      </c>
      <c r="R54" s="77">
        <f>F54</f>
        <v>6040705.00000004</v>
      </c>
    </row>
    <row r="55" spans="1:18" ht="15" customHeight="1" x14ac:dyDescent="0.2">
      <c r="A55" s="48" t="s">
        <v>45</v>
      </c>
      <c r="I55" s="74"/>
      <c r="J55" s="74"/>
      <c r="K55" s="74"/>
      <c r="L55" s="74"/>
      <c r="M55" s="74"/>
      <c r="N55" s="74"/>
      <c r="O55" s="74"/>
      <c r="P55" s="99"/>
      <c r="Q55" s="99"/>
      <c r="R55" s="99"/>
    </row>
    <row r="56" spans="1:18" ht="18.75" customHeight="1" x14ac:dyDescent="0.2">
      <c r="A56" s="48" t="s">
        <v>46</v>
      </c>
      <c r="I56" s="74"/>
      <c r="J56" s="74"/>
      <c r="K56" s="74"/>
      <c r="L56" s="74"/>
      <c r="M56" s="74"/>
      <c r="N56" s="74"/>
      <c r="O56" s="74"/>
      <c r="P56" s="99"/>
      <c r="Q56" s="99"/>
      <c r="R56" s="99"/>
    </row>
    <row r="57" spans="1:18" x14ac:dyDescent="0.2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99"/>
      <c r="Q57" s="99"/>
      <c r="R57" s="99"/>
    </row>
    <row r="58" spans="1:18" x14ac:dyDescent="0.2">
      <c r="A58" s="74"/>
      <c r="B58" s="74"/>
      <c r="C58" s="74"/>
      <c r="D58" s="74"/>
      <c r="E58" s="74"/>
      <c r="F58" s="74"/>
      <c r="G58" s="94">
        <f>Worksheet!L27</f>
        <v>4002153</v>
      </c>
      <c r="H58" s="74"/>
      <c r="I58" s="74"/>
      <c r="J58" s="74"/>
      <c r="K58" s="74"/>
      <c r="L58" s="74"/>
      <c r="M58" s="74"/>
      <c r="N58" s="74"/>
      <c r="O58" s="74"/>
      <c r="P58" s="99"/>
      <c r="Q58" s="99"/>
      <c r="R58" s="99"/>
    </row>
    <row r="59" spans="1:18" x14ac:dyDescent="0.2">
      <c r="A59" s="74"/>
      <c r="B59" s="74"/>
      <c r="C59" s="74"/>
      <c r="D59" s="74"/>
      <c r="E59" s="74"/>
      <c r="F59" s="74"/>
      <c r="G59" s="94">
        <f>G54-G58</f>
        <v>-17803.999913943931</v>
      </c>
      <c r="H59" s="74"/>
      <c r="I59" s="74"/>
      <c r="J59" s="74"/>
      <c r="K59" s="74"/>
      <c r="L59" s="74"/>
      <c r="M59" s="74"/>
      <c r="N59" s="74"/>
      <c r="O59" s="74"/>
      <c r="P59" s="99"/>
      <c r="Q59" s="99"/>
      <c r="R59" s="99"/>
    </row>
  </sheetData>
  <sheetProtection sheet="1" objects="1" scenarios="1" selectLockedCells="1"/>
  <mergeCells count="32">
    <mergeCell ref="B31:E31"/>
    <mergeCell ref="B32:E32"/>
    <mergeCell ref="B33:E33"/>
    <mergeCell ref="A8:E8"/>
    <mergeCell ref="B27:E27"/>
    <mergeCell ref="B28:E28"/>
    <mergeCell ref="B29:E29"/>
    <mergeCell ref="B30:E30"/>
    <mergeCell ref="B23:E23"/>
    <mergeCell ref="B24:E24"/>
    <mergeCell ref="B26:E26"/>
    <mergeCell ref="B19:E19"/>
    <mergeCell ref="B20:E20"/>
    <mergeCell ref="B21:E21"/>
    <mergeCell ref="B22:E22"/>
    <mergeCell ref="B10:E10"/>
    <mergeCell ref="B16:E16"/>
    <mergeCell ref="B17:E17"/>
    <mergeCell ref="B18:E18"/>
    <mergeCell ref="B25:E25"/>
    <mergeCell ref="B11:E11"/>
    <mergeCell ref="B12:E12"/>
    <mergeCell ref="B13:E13"/>
    <mergeCell ref="B14:E14"/>
    <mergeCell ref="B15:E15"/>
    <mergeCell ref="G6:O6"/>
    <mergeCell ref="A1:O1"/>
    <mergeCell ref="A5:E7"/>
    <mergeCell ref="B9:E9"/>
    <mergeCell ref="F6:F7"/>
    <mergeCell ref="D3:E3"/>
    <mergeCell ref="D2:E2"/>
  </mergeCells>
  <phoneticPr fontId="0" type="noConversion"/>
  <printOptions horizontalCentered="1"/>
  <pageMargins left="0.25" right="0.25" top="0.75" bottom="0.25" header="0.5" footer="0.5"/>
  <pageSetup scale="61" orientation="portrait" r:id="rId1"/>
  <headerFooter alignWithMargins="0">
    <oddHeader>&amp;REnclosure 2</oddHeader>
    <oddFooter>&amp;LPage 17&amp;Rver 3 (12/2007)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pageSetUpPr fitToPage="1"/>
  </sheetPr>
  <dimension ref="A1:R62"/>
  <sheetViews>
    <sheetView zoomScale="80" zoomScaleNormal="80" workbookViewId="0">
      <selection sqref="A1:O1"/>
    </sheetView>
  </sheetViews>
  <sheetFormatPr defaultColWidth="0" defaultRowHeight="15" zeroHeight="1" x14ac:dyDescent="0.2"/>
  <cols>
    <col min="1" max="1" width="3.7109375" style="48" customWidth="1"/>
    <col min="2" max="2" width="7" style="48" customWidth="1"/>
    <col min="3" max="4" width="3.7109375" style="48" customWidth="1"/>
    <col min="5" max="5" width="22.7109375" style="48" customWidth="1"/>
    <col min="6" max="6" width="17.140625" style="48" customWidth="1"/>
    <col min="7" max="7" width="15.42578125" style="48" customWidth="1"/>
    <col min="8" max="8" width="17.85546875" style="74" customWidth="1"/>
    <col min="9" max="9" width="14.85546875" style="74" customWidth="1"/>
    <col min="10" max="10" width="13.85546875" style="74" customWidth="1"/>
    <col min="11" max="11" width="13.5703125" style="74" customWidth="1"/>
    <col min="12" max="12" width="17.85546875" style="74" customWidth="1"/>
    <col min="13" max="13" width="16.28515625" style="74" customWidth="1"/>
    <col min="14" max="15" width="15.28515625" style="74" customWidth="1"/>
    <col min="16" max="16" width="18.28515625" style="77" customWidth="1"/>
    <col min="17" max="17" width="16.42578125" style="77" customWidth="1"/>
    <col min="18" max="18" width="17.5703125" style="77" customWidth="1"/>
  </cols>
  <sheetData>
    <row r="1" spans="1:18" ht="45.75" customHeight="1" x14ac:dyDescent="0.2">
      <c r="A1" s="173" t="s">
        <v>207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99"/>
      <c r="Q1" s="99"/>
      <c r="R1" s="99"/>
    </row>
    <row r="2" spans="1:18" ht="16.5" customHeight="1" x14ac:dyDescent="0.25">
      <c r="A2" s="47" t="s">
        <v>28</v>
      </c>
      <c r="B2" s="47"/>
      <c r="C2" s="47"/>
      <c r="D2" s="184" t="str">
        <f>'CSS Pgm 1'!E2:E2</f>
        <v>Santa Cruz</v>
      </c>
      <c r="E2" s="184"/>
      <c r="F2" s="74"/>
      <c r="G2" s="74"/>
      <c r="N2" s="49" t="s">
        <v>29</v>
      </c>
      <c r="O2" s="78" t="str">
        <f>Worksheet!$N$2</f>
        <v>10/7/09</v>
      </c>
      <c r="P2" s="99"/>
      <c r="Q2" s="99"/>
      <c r="R2" s="99"/>
    </row>
    <row r="3" spans="1:18" ht="12" customHeight="1" x14ac:dyDescent="0.25">
      <c r="A3" s="73"/>
      <c r="B3" s="73"/>
      <c r="C3" s="73"/>
      <c r="D3" s="183"/>
      <c r="E3" s="183"/>
      <c r="F3" s="74"/>
      <c r="G3" s="74"/>
      <c r="P3" s="99"/>
      <c r="Q3" s="99"/>
      <c r="R3" s="99"/>
    </row>
    <row r="4" spans="1:18" ht="12" customHeight="1" x14ac:dyDescent="0.2">
      <c r="A4" s="74"/>
      <c r="B4" s="74"/>
      <c r="C4" s="74"/>
      <c r="D4" s="74"/>
      <c r="E4" s="74"/>
      <c r="F4" s="74"/>
      <c r="G4" s="74"/>
      <c r="P4" s="99"/>
      <c r="Q4" s="99"/>
      <c r="R4" s="99"/>
    </row>
    <row r="5" spans="1:18" s="3" customFormat="1" ht="15" customHeight="1" x14ac:dyDescent="0.25">
      <c r="A5" s="174" t="s">
        <v>30</v>
      </c>
      <c r="B5" s="175"/>
      <c r="C5" s="175"/>
      <c r="D5" s="175"/>
      <c r="E5" s="176"/>
      <c r="F5" s="75" t="s">
        <v>19</v>
      </c>
      <c r="G5" s="101" t="s">
        <v>20</v>
      </c>
      <c r="H5" s="101" t="s">
        <v>27</v>
      </c>
      <c r="I5" s="101" t="s">
        <v>21</v>
      </c>
      <c r="J5" s="101" t="s">
        <v>22</v>
      </c>
      <c r="K5" s="101" t="s">
        <v>23</v>
      </c>
      <c r="L5" s="101" t="s">
        <v>24</v>
      </c>
      <c r="M5" s="101" t="s">
        <v>25</v>
      </c>
      <c r="N5" s="101" t="s">
        <v>26</v>
      </c>
      <c r="O5" s="101" t="s">
        <v>63</v>
      </c>
      <c r="P5" s="100"/>
      <c r="Q5" s="100"/>
      <c r="R5" s="100"/>
    </row>
    <row r="6" spans="1:18" s="3" customFormat="1" ht="19.5" customHeight="1" x14ac:dyDescent="0.25">
      <c r="A6" s="177"/>
      <c r="B6" s="178"/>
      <c r="C6" s="178"/>
      <c r="D6" s="178"/>
      <c r="E6" s="179"/>
      <c r="F6" s="171" t="s">
        <v>6</v>
      </c>
      <c r="G6" s="201" t="s">
        <v>36</v>
      </c>
      <c r="H6" s="202"/>
      <c r="I6" s="202"/>
      <c r="J6" s="202"/>
      <c r="K6" s="202"/>
      <c r="L6" s="202"/>
      <c r="M6" s="202"/>
      <c r="N6" s="202"/>
      <c r="O6" s="203"/>
      <c r="P6" s="100"/>
      <c r="Q6" s="100"/>
      <c r="R6" s="100"/>
    </row>
    <row r="7" spans="1:18" s="1" customFormat="1" ht="42" customHeight="1" x14ac:dyDescent="0.2">
      <c r="A7" s="180"/>
      <c r="B7" s="181"/>
      <c r="C7" s="181"/>
      <c r="D7" s="181"/>
      <c r="E7" s="182"/>
      <c r="F7" s="172"/>
      <c r="G7" s="97" t="s">
        <v>0</v>
      </c>
      <c r="H7" s="97" t="s">
        <v>35</v>
      </c>
      <c r="I7" s="97" t="s">
        <v>18</v>
      </c>
      <c r="J7" s="97" t="s">
        <v>1</v>
      </c>
      <c r="K7" s="97" t="s">
        <v>15</v>
      </c>
      <c r="L7" s="97" t="s">
        <v>16</v>
      </c>
      <c r="M7" s="97" t="s">
        <v>2</v>
      </c>
      <c r="N7" s="97" t="s">
        <v>17</v>
      </c>
      <c r="O7" s="97" t="s">
        <v>62</v>
      </c>
      <c r="P7" s="98" t="s">
        <v>235</v>
      </c>
      <c r="Q7" s="98" t="s">
        <v>236</v>
      </c>
      <c r="R7" s="98" t="s">
        <v>106</v>
      </c>
    </row>
    <row r="8" spans="1:18" ht="15.75" customHeight="1" x14ac:dyDescent="0.25">
      <c r="A8" s="86" t="s">
        <v>38</v>
      </c>
      <c r="B8" s="87"/>
      <c r="C8" s="87"/>
      <c r="D8" s="87"/>
      <c r="E8" s="88"/>
      <c r="F8" s="80"/>
      <c r="G8" s="80"/>
      <c r="H8" s="80"/>
      <c r="I8" s="80"/>
      <c r="J8" s="80"/>
      <c r="K8" s="80"/>
      <c r="L8" s="80"/>
      <c r="M8" s="80"/>
      <c r="N8" s="80"/>
      <c r="O8" s="80"/>
      <c r="P8" s="77">
        <f>SUM(G8:O8)</f>
        <v>0</v>
      </c>
      <c r="Q8" s="77" t="b">
        <f>EXACT(P8,R8)</f>
        <v>1</v>
      </c>
      <c r="R8" s="77">
        <f>F8</f>
        <v>0</v>
      </c>
    </row>
    <row r="9" spans="1:18" ht="12" customHeight="1" x14ac:dyDescent="0.2">
      <c r="A9" s="60"/>
      <c r="B9" s="211" t="s">
        <v>86</v>
      </c>
      <c r="C9" s="211"/>
      <c r="D9" s="211"/>
      <c r="E9" s="212"/>
      <c r="F9" s="54"/>
      <c r="G9" s="54"/>
      <c r="H9" s="54"/>
      <c r="I9" s="54"/>
      <c r="J9" s="54"/>
      <c r="K9" s="54"/>
      <c r="L9" s="54"/>
      <c r="M9" s="54"/>
      <c r="N9" s="54"/>
      <c r="O9" s="54"/>
      <c r="P9" s="77">
        <f>SUM(G9:O9)</f>
        <v>0</v>
      </c>
      <c r="Q9" s="77" t="b">
        <f t="shared" ref="Q9:Q22" si="0">EXACT(P9,R9)</f>
        <v>1</v>
      </c>
      <c r="R9" s="77">
        <f>F9</f>
        <v>0</v>
      </c>
    </row>
    <row r="10" spans="1:18" ht="12" customHeight="1" x14ac:dyDescent="0.2">
      <c r="A10" s="60"/>
      <c r="B10" s="52"/>
      <c r="C10" s="52" t="s">
        <v>3</v>
      </c>
      <c r="D10" s="52"/>
      <c r="E10" s="53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77">
        <f>SUM(G10:O10)</f>
        <v>0</v>
      </c>
      <c r="Q10" s="77" t="b">
        <f t="shared" si="0"/>
        <v>1</v>
      </c>
      <c r="R10" s="77">
        <f>F10</f>
        <v>0</v>
      </c>
    </row>
    <row r="11" spans="1:18" ht="12" customHeight="1" x14ac:dyDescent="0.2">
      <c r="A11" s="60"/>
      <c r="B11" s="52"/>
      <c r="C11" s="52"/>
      <c r="D11" s="52" t="s">
        <v>10</v>
      </c>
      <c r="E11" s="53"/>
      <c r="F11" s="54">
        <f>SUM('CSS Pgm 1:CSS Pgm 15'!G11)</f>
        <v>0</v>
      </c>
      <c r="G11" s="54">
        <f>SUM('CSS Pgm 1:CSS Pgm 15'!H11)</f>
        <v>0</v>
      </c>
      <c r="H11" s="54">
        <f>SUM('CSS Pgm 1:CSS Pgm 15'!I11)</f>
        <v>0</v>
      </c>
      <c r="I11" s="54">
        <f>SUM('CSS Pgm 1:CSS Pgm 15'!J11)</f>
        <v>0</v>
      </c>
      <c r="J11" s="54">
        <f>SUM('CSS Pgm 1:CSS Pgm 15'!K11)</f>
        <v>0</v>
      </c>
      <c r="K11" s="54">
        <f>SUM('CSS Pgm 1:CSS Pgm 15'!L11)</f>
        <v>0</v>
      </c>
      <c r="L11" s="54">
        <f>SUM('CSS Pgm 1:CSS Pgm 15'!M11)</f>
        <v>0</v>
      </c>
      <c r="M11" s="54">
        <f>SUM('CSS Pgm 1:CSS Pgm 15'!N11)</f>
        <v>0</v>
      </c>
      <c r="N11" s="54">
        <f>SUM('CSS Pgm 1:CSS Pgm 15'!O11)</f>
        <v>0</v>
      </c>
      <c r="O11" s="54">
        <f>SUM('CSS Pgm 1:CSS Pgm 15'!P11)</f>
        <v>0</v>
      </c>
      <c r="P11" s="77">
        <f t="shared" ref="P11:P22" si="1">SUM(G11:O11)</f>
        <v>0</v>
      </c>
      <c r="Q11" s="77" t="b">
        <f t="shared" si="0"/>
        <v>1</v>
      </c>
      <c r="R11" s="77">
        <f t="shared" ref="R11:R22" si="2">F11</f>
        <v>0</v>
      </c>
    </row>
    <row r="12" spans="1:18" ht="12" customHeight="1" x14ac:dyDescent="0.2">
      <c r="A12" s="60"/>
      <c r="B12" s="52"/>
      <c r="C12" s="52"/>
      <c r="D12" s="52" t="s">
        <v>11</v>
      </c>
      <c r="E12" s="53"/>
      <c r="F12" s="54">
        <f>SUM('CSS Pgm 1:CSS Pgm 15'!G12)</f>
        <v>0</v>
      </c>
      <c r="G12" s="54">
        <f>SUM('CSS Pgm 1:CSS Pgm 15'!H12)</f>
        <v>0</v>
      </c>
      <c r="H12" s="54">
        <f>SUM('CSS Pgm 1:CSS Pgm 15'!I12)</f>
        <v>0</v>
      </c>
      <c r="I12" s="54">
        <f>SUM('CSS Pgm 1:CSS Pgm 15'!J12)</f>
        <v>0</v>
      </c>
      <c r="J12" s="54">
        <f>SUM('CSS Pgm 1:CSS Pgm 15'!K12)</f>
        <v>0</v>
      </c>
      <c r="K12" s="54">
        <f>SUM('CSS Pgm 1:CSS Pgm 15'!L12)</f>
        <v>0</v>
      </c>
      <c r="L12" s="54">
        <f>SUM('CSS Pgm 1:CSS Pgm 15'!M12)</f>
        <v>0</v>
      </c>
      <c r="M12" s="54">
        <f>SUM('CSS Pgm 1:CSS Pgm 15'!N12)</f>
        <v>0</v>
      </c>
      <c r="N12" s="54">
        <f>SUM('CSS Pgm 1:CSS Pgm 15'!O12)</f>
        <v>0</v>
      </c>
      <c r="O12" s="54">
        <f>SUM('CSS Pgm 1:CSS Pgm 15'!P12)</f>
        <v>0</v>
      </c>
      <c r="P12" s="77">
        <f t="shared" si="1"/>
        <v>0</v>
      </c>
      <c r="Q12" s="77" t="b">
        <f t="shared" si="0"/>
        <v>1</v>
      </c>
      <c r="R12" s="77">
        <f t="shared" si="2"/>
        <v>0</v>
      </c>
    </row>
    <row r="13" spans="1:18" ht="12" customHeight="1" x14ac:dyDescent="0.2">
      <c r="A13" s="60"/>
      <c r="B13" s="52"/>
      <c r="C13" s="52"/>
      <c r="D13" s="52" t="s">
        <v>37</v>
      </c>
      <c r="E13" s="53"/>
      <c r="F13" s="54">
        <f>SUM('CSS Pgm 1:CSS Pgm 15'!G13)</f>
        <v>1341008.4175833545</v>
      </c>
      <c r="G13" s="54">
        <f>SUM('CSS Pgm 1:CSS Pgm 15'!H13)</f>
        <v>911942.16110559669</v>
      </c>
      <c r="H13" s="54">
        <f>SUM('CSS Pgm 1:CSS Pgm 15'!I13)</f>
        <v>0</v>
      </c>
      <c r="I13" s="54">
        <f>SUM('CSS Pgm 1:CSS Pgm 15'!J13)</f>
        <v>0</v>
      </c>
      <c r="J13" s="54">
        <f>SUM('CSS Pgm 1:CSS Pgm 15'!K13)</f>
        <v>429066.25647775782</v>
      </c>
      <c r="K13" s="54">
        <f>SUM('CSS Pgm 1:CSS Pgm 15'!L13)</f>
        <v>0</v>
      </c>
      <c r="L13" s="54">
        <f>SUM('CSS Pgm 1:CSS Pgm 15'!M13)</f>
        <v>0</v>
      </c>
      <c r="M13" s="54">
        <f>SUM('CSS Pgm 1:CSS Pgm 15'!N13)</f>
        <v>0</v>
      </c>
      <c r="N13" s="54">
        <f>SUM('CSS Pgm 1:CSS Pgm 15'!O13)</f>
        <v>0</v>
      </c>
      <c r="O13" s="54">
        <f>SUM('CSS Pgm 1:CSS Pgm 15'!P13)</f>
        <v>0</v>
      </c>
      <c r="P13" s="77">
        <f t="shared" si="1"/>
        <v>1341008.4175833545</v>
      </c>
      <c r="Q13" s="77" t="b">
        <f t="shared" si="0"/>
        <v>1</v>
      </c>
      <c r="R13" s="77">
        <f t="shared" si="2"/>
        <v>1341008.4175833545</v>
      </c>
    </row>
    <row r="14" spans="1:18" ht="12" customHeight="1" x14ac:dyDescent="0.2">
      <c r="A14" s="60"/>
      <c r="B14" s="52"/>
      <c r="C14" s="52"/>
      <c r="D14" s="52" t="s">
        <v>4</v>
      </c>
      <c r="E14" s="53"/>
      <c r="F14" s="54">
        <f>SUM('CSS Pgm 1:CSS Pgm 15'!G14)</f>
        <v>310768.27359747299</v>
      </c>
      <c r="G14" s="54">
        <f>SUM('CSS Pgm 1:CSS Pgm 15'!H14)</f>
        <v>211335.50491670874</v>
      </c>
      <c r="H14" s="54">
        <f>SUM('CSS Pgm 1:CSS Pgm 15'!I14)</f>
        <v>0</v>
      </c>
      <c r="I14" s="54">
        <f>SUM('CSS Pgm 1:CSS Pgm 15'!J14)</f>
        <v>0</v>
      </c>
      <c r="J14" s="54">
        <f>SUM('CSS Pgm 1:CSS Pgm 15'!K14)</f>
        <v>99432.768680764231</v>
      </c>
      <c r="K14" s="54">
        <f>SUM('CSS Pgm 1:CSS Pgm 15'!L14)</f>
        <v>0</v>
      </c>
      <c r="L14" s="54">
        <f>SUM('CSS Pgm 1:CSS Pgm 15'!M14)</f>
        <v>0</v>
      </c>
      <c r="M14" s="54">
        <f>SUM('CSS Pgm 1:CSS Pgm 15'!N14)</f>
        <v>0</v>
      </c>
      <c r="N14" s="54">
        <f>SUM('CSS Pgm 1:CSS Pgm 15'!O14)</f>
        <v>0</v>
      </c>
      <c r="O14" s="54">
        <f>SUM('CSS Pgm 1:CSS Pgm 15'!P14)</f>
        <v>0</v>
      </c>
      <c r="P14" s="77">
        <f t="shared" si="1"/>
        <v>310768.27359747299</v>
      </c>
      <c r="Q14" s="77" t="b">
        <f t="shared" si="0"/>
        <v>1</v>
      </c>
      <c r="R14" s="77">
        <f t="shared" si="2"/>
        <v>310768.27359747299</v>
      </c>
    </row>
    <row r="15" spans="1:18" ht="12" customHeight="1" x14ac:dyDescent="0.2">
      <c r="A15" s="60"/>
      <c r="B15" s="52"/>
      <c r="C15" s="52" t="s">
        <v>7</v>
      </c>
      <c r="D15" s="52"/>
      <c r="E15" s="53"/>
      <c r="F15" s="115">
        <f t="shared" ref="F15:O15" si="3">SUM(F11:F14)</f>
        <v>1651776.6911808276</v>
      </c>
      <c r="G15" s="115">
        <f t="shared" si="3"/>
        <v>1123277.6660223054</v>
      </c>
      <c r="H15" s="115">
        <f t="shared" si="3"/>
        <v>0</v>
      </c>
      <c r="I15" s="115">
        <f t="shared" si="3"/>
        <v>0</v>
      </c>
      <c r="J15" s="115">
        <f t="shared" si="3"/>
        <v>528499.02515852207</v>
      </c>
      <c r="K15" s="115">
        <f t="shared" si="3"/>
        <v>0</v>
      </c>
      <c r="L15" s="115">
        <f t="shared" si="3"/>
        <v>0</v>
      </c>
      <c r="M15" s="115">
        <f t="shared" si="3"/>
        <v>0</v>
      </c>
      <c r="N15" s="115">
        <f t="shared" si="3"/>
        <v>0</v>
      </c>
      <c r="O15" s="115">
        <f t="shared" si="3"/>
        <v>0</v>
      </c>
      <c r="P15" s="77">
        <f t="shared" si="1"/>
        <v>1651776.6911808276</v>
      </c>
      <c r="Q15" s="77" t="b">
        <f t="shared" si="0"/>
        <v>1</v>
      </c>
      <c r="R15" s="77">
        <f t="shared" si="2"/>
        <v>1651776.6911808276</v>
      </c>
    </row>
    <row r="16" spans="1:18" ht="12" customHeight="1" x14ac:dyDescent="0.2">
      <c r="A16" s="60"/>
      <c r="B16" s="52"/>
      <c r="C16" s="52" t="s">
        <v>5</v>
      </c>
      <c r="D16" s="52"/>
      <c r="E16" s="53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77">
        <f t="shared" si="1"/>
        <v>0</v>
      </c>
      <c r="Q16" s="77" t="b">
        <f t="shared" si="0"/>
        <v>1</v>
      </c>
      <c r="R16" s="77">
        <f t="shared" si="2"/>
        <v>0</v>
      </c>
    </row>
    <row r="17" spans="1:18" ht="12" customHeight="1" x14ac:dyDescent="0.2">
      <c r="A17" s="60"/>
      <c r="B17" s="52"/>
      <c r="C17" s="52"/>
      <c r="D17" s="52" t="s">
        <v>10</v>
      </c>
      <c r="E17" s="53"/>
      <c r="F17" s="54">
        <f>SUM('CSS Pgm 1:CSS Pgm 15'!G17)</f>
        <v>0</v>
      </c>
      <c r="G17" s="54">
        <f>SUM('CSS Pgm 1:CSS Pgm 15'!H17)</f>
        <v>0</v>
      </c>
      <c r="H17" s="54">
        <f>SUM('CSS Pgm 1:CSS Pgm 15'!I17)</f>
        <v>0</v>
      </c>
      <c r="I17" s="54">
        <f>SUM('CSS Pgm 1:CSS Pgm 15'!J17)</f>
        <v>0</v>
      </c>
      <c r="J17" s="54">
        <f>SUM('CSS Pgm 1:CSS Pgm 15'!K17)</f>
        <v>0</v>
      </c>
      <c r="K17" s="54">
        <f>SUM('CSS Pgm 1:CSS Pgm 15'!L17)</f>
        <v>0</v>
      </c>
      <c r="L17" s="54">
        <f>SUM('CSS Pgm 1:CSS Pgm 15'!M17)</f>
        <v>0</v>
      </c>
      <c r="M17" s="54">
        <f>SUM('CSS Pgm 1:CSS Pgm 15'!N17)</f>
        <v>0</v>
      </c>
      <c r="N17" s="54">
        <f>SUM('CSS Pgm 1:CSS Pgm 15'!O17)</f>
        <v>0</v>
      </c>
      <c r="O17" s="54">
        <f>SUM('CSS Pgm 1:CSS Pgm 15'!P17)</f>
        <v>0</v>
      </c>
      <c r="P17" s="77">
        <f t="shared" si="1"/>
        <v>0</v>
      </c>
      <c r="Q17" s="77" t="b">
        <f t="shared" si="0"/>
        <v>1</v>
      </c>
      <c r="R17" s="77">
        <f t="shared" si="2"/>
        <v>0</v>
      </c>
    </row>
    <row r="18" spans="1:18" ht="12" customHeight="1" x14ac:dyDescent="0.2">
      <c r="A18" s="60"/>
      <c r="B18" s="52"/>
      <c r="C18" s="52"/>
      <c r="D18" s="52" t="s">
        <v>11</v>
      </c>
      <c r="E18" s="53"/>
      <c r="F18" s="54">
        <f>SUM('CSS Pgm 1:CSS Pgm 15'!G18)</f>
        <v>0</v>
      </c>
      <c r="G18" s="54">
        <f>SUM('CSS Pgm 1:CSS Pgm 15'!H18)</f>
        <v>0</v>
      </c>
      <c r="H18" s="54">
        <f>SUM('CSS Pgm 1:CSS Pgm 15'!I18)</f>
        <v>0</v>
      </c>
      <c r="I18" s="54">
        <f>SUM('CSS Pgm 1:CSS Pgm 15'!J18)</f>
        <v>0</v>
      </c>
      <c r="J18" s="54">
        <f>SUM('CSS Pgm 1:CSS Pgm 15'!K18)</f>
        <v>0</v>
      </c>
      <c r="K18" s="54">
        <f>SUM('CSS Pgm 1:CSS Pgm 15'!L18)</f>
        <v>0</v>
      </c>
      <c r="L18" s="54">
        <f>SUM('CSS Pgm 1:CSS Pgm 15'!M18)</f>
        <v>0</v>
      </c>
      <c r="M18" s="54">
        <f>SUM('CSS Pgm 1:CSS Pgm 15'!N18)</f>
        <v>0</v>
      </c>
      <c r="N18" s="54">
        <f>SUM('CSS Pgm 1:CSS Pgm 15'!O18)</f>
        <v>0</v>
      </c>
      <c r="O18" s="54">
        <f>SUM('CSS Pgm 1:CSS Pgm 15'!P18)</f>
        <v>0</v>
      </c>
      <c r="P18" s="77">
        <f t="shared" si="1"/>
        <v>0</v>
      </c>
      <c r="Q18" s="77" t="b">
        <f t="shared" si="0"/>
        <v>1</v>
      </c>
      <c r="R18" s="77">
        <f t="shared" si="2"/>
        <v>0</v>
      </c>
    </row>
    <row r="19" spans="1:18" ht="12" customHeight="1" x14ac:dyDescent="0.2">
      <c r="A19" s="60"/>
      <c r="B19" s="52"/>
      <c r="C19" s="52"/>
      <c r="D19" s="52" t="s">
        <v>37</v>
      </c>
      <c r="E19" s="53"/>
      <c r="F19" s="54">
        <f>SUM('CSS Pgm 1:CSS Pgm 15'!G19)</f>
        <v>0</v>
      </c>
      <c r="G19" s="54">
        <f>SUM('CSS Pgm 1:CSS Pgm 15'!H19)</f>
        <v>0</v>
      </c>
      <c r="H19" s="54">
        <f>SUM('CSS Pgm 1:CSS Pgm 15'!I19)</f>
        <v>0</v>
      </c>
      <c r="I19" s="54">
        <f>SUM('CSS Pgm 1:CSS Pgm 15'!J19)</f>
        <v>0</v>
      </c>
      <c r="J19" s="54">
        <f>SUM('CSS Pgm 1:CSS Pgm 15'!K19)</f>
        <v>0</v>
      </c>
      <c r="K19" s="54">
        <f>SUM('CSS Pgm 1:CSS Pgm 15'!L19)</f>
        <v>0</v>
      </c>
      <c r="L19" s="54">
        <f>SUM('CSS Pgm 1:CSS Pgm 15'!M19)</f>
        <v>0</v>
      </c>
      <c r="M19" s="54">
        <f>SUM('CSS Pgm 1:CSS Pgm 15'!N19)</f>
        <v>0</v>
      </c>
      <c r="N19" s="54">
        <f>SUM('CSS Pgm 1:CSS Pgm 15'!O19)</f>
        <v>0</v>
      </c>
      <c r="O19" s="54">
        <f>SUM('CSS Pgm 1:CSS Pgm 15'!P19)</f>
        <v>0</v>
      </c>
      <c r="P19" s="77">
        <f t="shared" si="1"/>
        <v>0</v>
      </c>
      <c r="Q19" s="77" t="b">
        <f t="shared" si="0"/>
        <v>1</v>
      </c>
      <c r="R19" s="77">
        <f t="shared" si="2"/>
        <v>0</v>
      </c>
    </row>
    <row r="20" spans="1:18" ht="12" customHeight="1" x14ac:dyDescent="0.2">
      <c r="A20" s="60"/>
      <c r="B20" s="52"/>
      <c r="C20" s="52"/>
      <c r="D20" s="52" t="s">
        <v>4</v>
      </c>
      <c r="E20" s="53"/>
      <c r="F20" s="54">
        <f>SUM('CSS Pgm 1:CSS Pgm 15'!G20)</f>
        <v>1126618.7695761672</v>
      </c>
      <c r="G20" s="54">
        <f>SUM('CSS Pgm 1:CSS Pgm 15'!H20)</f>
        <v>921169.01952944451</v>
      </c>
      <c r="H20" s="54">
        <f>SUM('CSS Pgm 1:CSS Pgm 15'!I20)</f>
        <v>0</v>
      </c>
      <c r="I20" s="54">
        <f>SUM('CSS Pgm 1:CSS Pgm 15'!J20)</f>
        <v>0</v>
      </c>
      <c r="J20" s="54">
        <f>SUM('CSS Pgm 1:CSS Pgm 15'!K20)</f>
        <v>205449.75004672253</v>
      </c>
      <c r="K20" s="54">
        <f>SUM('CSS Pgm 1:CSS Pgm 15'!L20)</f>
        <v>0</v>
      </c>
      <c r="L20" s="54">
        <f>SUM('CSS Pgm 1:CSS Pgm 15'!M20)</f>
        <v>0</v>
      </c>
      <c r="M20" s="54">
        <f>SUM('CSS Pgm 1:CSS Pgm 15'!N20)</f>
        <v>0</v>
      </c>
      <c r="N20" s="54">
        <f>SUM('CSS Pgm 1:CSS Pgm 15'!O20)</f>
        <v>0</v>
      </c>
      <c r="O20" s="54">
        <f>SUM('CSS Pgm 1:CSS Pgm 15'!P20)</f>
        <v>0</v>
      </c>
      <c r="P20" s="77">
        <f t="shared" si="1"/>
        <v>1126618.769576167</v>
      </c>
      <c r="Q20" s="77" t="b">
        <f t="shared" si="0"/>
        <v>1</v>
      </c>
      <c r="R20" s="77">
        <f t="shared" si="2"/>
        <v>1126618.7695761672</v>
      </c>
    </row>
    <row r="21" spans="1:18" ht="12" customHeight="1" x14ac:dyDescent="0.2">
      <c r="A21" s="60"/>
      <c r="B21" s="52"/>
      <c r="C21" s="52" t="s">
        <v>8</v>
      </c>
      <c r="D21" s="52"/>
      <c r="E21" s="53"/>
      <c r="F21" s="115">
        <f t="shared" ref="F21:O21" si="4">SUM(F17:F20)</f>
        <v>1126618.7695761672</v>
      </c>
      <c r="G21" s="115">
        <f t="shared" si="4"/>
        <v>921169.01952944451</v>
      </c>
      <c r="H21" s="115">
        <f t="shared" si="4"/>
        <v>0</v>
      </c>
      <c r="I21" s="115">
        <f t="shared" si="4"/>
        <v>0</v>
      </c>
      <c r="J21" s="115">
        <f t="shared" si="4"/>
        <v>205449.75004672253</v>
      </c>
      <c r="K21" s="115">
        <f t="shared" si="4"/>
        <v>0</v>
      </c>
      <c r="L21" s="115">
        <f t="shared" si="4"/>
        <v>0</v>
      </c>
      <c r="M21" s="115">
        <f t="shared" si="4"/>
        <v>0</v>
      </c>
      <c r="N21" s="115">
        <f t="shared" si="4"/>
        <v>0</v>
      </c>
      <c r="O21" s="115">
        <f t="shared" si="4"/>
        <v>0</v>
      </c>
      <c r="P21" s="77">
        <f t="shared" si="1"/>
        <v>1126618.769576167</v>
      </c>
      <c r="Q21" s="77" t="b">
        <f t="shared" si="0"/>
        <v>1</v>
      </c>
      <c r="R21" s="77">
        <f t="shared" si="2"/>
        <v>1126618.7695761672</v>
      </c>
    </row>
    <row r="22" spans="1:18" ht="12" customHeight="1" x14ac:dyDescent="0.2">
      <c r="A22" s="55"/>
      <c r="B22" s="56" t="s">
        <v>9</v>
      </c>
      <c r="C22" s="56"/>
      <c r="D22" s="56"/>
      <c r="E22" s="57"/>
      <c r="F22" s="116">
        <f t="shared" ref="F22:O22" si="5">F15+F21</f>
        <v>2778395.4607569948</v>
      </c>
      <c r="G22" s="116">
        <f t="shared" si="5"/>
        <v>2044446.68555175</v>
      </c>
      <c r="H22" s="116">
        <f t="shared" si="5"/>
        <v>0</v>
      </c>
      <c r="I22" s="116">
        <f t="shared" si="5"/>
        <v>0</v>
      </c>
      <c r="J22" s="116">
        <f t="shared" si="5"/>
        <v>733948.77520524454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77">
        <f t="shared" si="1"/>
        <v>2778395.4607569948</v>
      </c>
      <c r="Q22" s="77" t="b">
        <f t="shared" si="0"/>
        <v>1</v>
      </c>
      <c r="R22" s="77">
        <f t="shared" si="2"/>
        <v>2778395.4607569948</v>
      </c>
    </row>
    <row r="23" spans="1:18" ht="12" customHeight="1" x14ac:dyDescent="0.2">
      <c r="A23" s="60"/>
      <c r="B23" s="213" t="s">
        <v>79</v>
      </c>
      <c r="C23" s="213"/>
      <c r="D23" s="213"/>
      <c r="E23" s="21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77">
        <f>SUM(G23:O23)</f>
        <v>0</v>
      </c>
      <c r="Q23" s="77" t="b">
        <f>EXACT(P23,R23)</f>
        <v>1</v>
      </c>
      <c r="R23" s="77">
        <f>F23</f>
        <v>0</v>
      </c>
    </row>
    <row r="24" spans="1:18" ht="12" customHeight="1" x14ac:dyDescent="0.2">
      <c r="A24" s="60"/>
      <c r="B24" s="52"/>
      <c r="C24" s="52" t="s">
        <v>31</v>
      </c>
      <c r="D24" s="52"/>
      <c r="E24" s="53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77">
        <f>SUM(G24:O24)</f>
        <v>0</v>
      </c>
      <c r="Q24" s="77" t="b">
        <f t="shared" ref="Q24:Q34" si="6">EXACT(P24,R24)</f>
        <v>1</v>
      </c>
      <c r="R24" s="77">
        <f>F24</f>
        <v>0</v>
      </c>
    </row>
    <row r="25" spans="1:18" ht="12" customHeight="1" x14ac:dyDescent="0.2">
      <c r="A25" s="60"/>
      <c r="B25" s="52"/>
      <c r="C25" s="52"/>
      <c r="D25" s="52" t="s">
        <v>3</v>
      </c>
      <c r="E25" s="53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77">
        <f>SUM(G25:O25)</f>
        <v>0</v>
      </c>
      <c r="Q25" s="77" t="b">
        <f t="shared" si="6"/>
        <v>1</v>
      </c>
      <c r="R25" s="77">
        <f>F25</f>
        <v>0</v>
      </c>
    </row>
    <row r="26" spans="1:18" ht="12" customHeight="1" x14ac:dyDescent="0.2">
      <c r="A26" s="60"/>
      <c r="B26" s="52"/>
      <c r="C26" s="52"/>
      <c r="D26" s="52"/>
      <c r="E26" s="53" t="s">
        <v>37</v>
      </c>
      <c r="F26" s="54">
        <f>SUM('CSS Pgm 1:CSS Pgm 15'!G26)</f>
        <v>581953.69834996189</v>
      </c>
      <c r="G26" s="54">
        <f>SUM('CSS Pgm 1:CSS Pgm 15'!H26)</f>
        <v>163852.66750452243</v>
      </c>
      <c r="H26" s="54">
        <f>SUM('CSS Pgm 1:CSS Pgm 15'!I26)</f>
        <v>179981.29999226227</v>
      </c>
      <c r="I26" s="54">
        <f>SUM('CSS Pgm 1:CSS Pgm 15'!J26)</f>
        <v>0</v>
      </c>
      <c r="J26" s="54">
        <f>SUM('CSS Pgm 1:CSS Pgm 15'!K26)</f>
        <v>238119.73085317723</v>
      </c>
      <c r="K26" s="54">
        <f>SUM('CSS Pgm 1:CSS Pgm 15'!L26)</f>
        <v>0</v>
      </c>
      <c r="L26" s="54">
        <f>SUM('CSS Pgm 1:CSS Pgm 15'!M26)</f>
        <v>0</v>
      </c>
      <c r="M26" s="54">
        <f>SUM('CSS Pgm 1:CSS Pgm 15'!N26)</f>
        <v>0</v>
      </c>
      <c r="N26" s="54">
        <f>SUM('CSS Pgm 1:CSS Pgm 15'!O26)</f>
        <v>0</v>
      </c>
      <c r="O26" s="54">
        <f>SUM('CSS Pgm 1:CSS Pgm 15'!P26)</f>
        <v>0</v>
      </c>
      <c r="P26" s="77">
        <f t="shared" ref="P26:P34" si="7">SUM(G26:O26)</f>
        <v>581953.69834996189</v>
      </c>
      <c r="Q26" s="77" t="b">
        <f t="shared" si="6"/>
        <v>1</v>
      </c>
      <c r="R26" s="77">
        <f t="shared" ref="R26:R34" si="8">F26</f>
        <v>581953.69834996189</v>
      </c>
    </row>
    <row r="27" spans="1:18" ht="12" customHeight="1" x14ac:dyDescent="0.2">
      <c r="A27" s="60"/>
      <c r="B27" s="52"/>
      <c r="C27" s="52"/>
      <c r="D27" s="52"/>
      <c r="E27" s="53" t="s">
        <v>4</v>
      </c>
      <c r="F27" s="54">
        <f>SUM('CSS Pgm 1:CSS Pgm 15'!G27)</f>
        <v>27623.707524548619</v>
      </c>
      <c r="G27" s="54">
        <f>SUM('CSS Pgm 1:CSS Pgm 15'!H27)</f>
        <v>18785.28367710262</v>
      </c>
      <c r="H27" s="54">
        <f>SUM('CSS Pgm 1:CSS Pgm 15'!I27)</f>
        <v>0</v>
      </c>
      <c r="I27" s="54">
        <f>SUM('CSS Pgm 1:CSS Pgm 15'!J27)</f>
        <v>0</v>
      </c>
      <c r="J27" s="54">
        <f>SUM('CSS Pgm 1:CSS Pgm 15'!K27)</f>
        <v>8838.4238474460017</v>
      </c>
      <c r="K27" s="54">
        <f>SUM('CSS Pgm 1:CSS Pgm 15'!L27)</f>
        <v>0</v>
      </c>
      <c r="L27" s="54">
        <f>SUM('CSS Pgm 1:CSS Pgm 15'!M27)</f>
        <v>0</v>
      </c>
      <c r="M27" s="54">
        <f>SUM('CSS Pgm 1:CSS Pgm 15'!N27)</f>
        <v>0</v>
      </c>
      <c r="N27" s="54">
        <f>SUM('CSS Pgm 1:CSS Pgm 15'!O27)</f>
        <v>0</v>
      </c>
      <c r="O27" s="54">
        <f>SUM('CSS Pgm 1:CSS Pgm 15'!P27)</f>
        <v>0</v>
      </c>
      <c r="P27" s="77">
        <f t="shared" si="7"/>
        <v>27623.707524548619</v>
      </c>
      <c r="Q27" s="77" t="b">
        <f t="shared" si="6"/>
        <v>1</v>
      </c>
      <c r="R27" s="77">
        <f t="shared" si="8"/>
        <v>27623.707524548619</v>
      </c>
    </row>
    <row r="28" spans="1:18" ht="12" customHeight="1" x14ac:dyDescent="0.2">
      <c r="A28" s="60"/>
      <c r="B28" s="52"/>
      <c r="C28" s="52"/>
      <c r="D28" s="52" t="s">
        <v>7</v>
      </c>
      <c r="E28" s="53"/>
      <c r="F28" s="115">
        <f t="shared" ref="F28:O28" si="9">SUM(F26:F27)</f>
        <v>609577.40587451053</v>
      </c>
      <c r="G28" s="115">
        <f t="shared" si="9"/>
        <v>182637.95118162505</v>
      </c>
      <c r="H28" s="115">
        <f t="shared" si="9"/>
        <v>179981.29999226227</v>
      </c>
      <c r="I28" s="115">
        <f t="shared" si="9"/>
        <v>0</v>
      </c>
      <c r="J28" s="115">
        <f t="shared" si="9"/>
        <v>246958.15470062324</v>
      </c>
      <c r="K28" s="115">
        <f t="shared" si="9"/>
        <v>0</v>
      </c>
      <c r="L28" s="115">
        <f t="shared" si="9"/>
        <v>0</v>
      </c>
      <c r="M28" s="115">
        <f t="shared" si="9"/>
        <v>0</v>
      </c>
      <c r="N28" s="115">
        <f t="shared" si="9"/>
        <v>0</v>
      </c>
      <c r="O28" s="115">
        <f t="shared" si="9"/>
        <v>0</v>
      </c>
      <c r="P28" s="77">
        <f t="shared" si="7"/>
        <v>609577.40587451053</v>
      </c>
      <c r="Q28" s="77" t="b">
        <f t="shared" si="6"/>
        <v>1</v>
      </c>
      <c r="R28" s="77">
        <f t="shared" si="8"/>
        <v>609577.40587451053</v>
      </c>
    </row>
    <row r="29" spans="1:18" ht="12" customHeight="1" x14ac:dyDescent="0.2">
      <c r="A29" s="60"/>
      <c r="B29" s="52"/>
      <c r="C29" s="52"/>
      <c r="D29" s="52" t="s">
        <v>5</v>
      </c>
      <c r="E29" s="53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77">
        <f t="shared" si="7"/>
        <v>0</v>
      </c>
      <c r="Q29" s="77" t="b">
        <f t="shared" si="6"/>
        <v>1</v>
      </c>
      <c r="R29" s="77">
        <f t="shared" si="8"/>
        <v>0</v>
      </c>
    </row>
    <row r="30" spans="1:18" ht="12" customHeight="1" x14ac:dyDescent="0.2">
      <c r="A30" s="60"/>
      <c r="B30" s="52"/>
      <c r="C30" s="52"/>
      <c r="D30" s="52"/>
      <c r="E30" s="53" t="s">
        <v>37</v>
      </c>
      <c r="F30" s="54">
        <f>SUM('CSS Pgm 1:CSS Pgm 15'!G30)</f>
        <v>0</v>
      </c>
      <c r="G30" s="54">
        <f>SUM('CSS Pgm 1:CSS Pgm 15'!H30)</f>
        <v>0</v>
      </c>
      <c r="H30" s="54">
        <f>SUM('CSS Pgm 1:CSS Pgm 15'!I30)</f>
        <v>0</v>
      </c>
      <c r="I30" s="54">
        <f>SUM('CSS Pgm 1:CSS Pgm 15'!J30)</f>
        <v>0</v>
      </c>
      <c r="J30" s="54">
        <f>SUM('CSS Pgm 1:CSS Pgm 15'!K30)</f>
        <v>0</v>
      </c>
      <c r="K30" s="54">
        <f>SUM('CSS Pgm 1:CSS Pgm 15'!L30)</f>
        <v>0</v>
      </c>
      <c r="L30" s="54">
        <f>SUM('CSS Pgm 1:CSS Pgm 15'!M30)</f>
        <v>0</v>
      </c>
      <c r="M30" s="54">
        <f>SUM('CSS Pgm 1:CSS Pgm 15'!N30)</f>
        <v>0</v>
      </c>
      <c r="N30" s="54">
        <f>SUM('CSS Pgm 1:CSS Pgm 15'!O30)</f>
        <v>0</v>
      </c>
      <c r="O30" s="54">
        <f>SUM('CSS Pgm 1:CSS Pgm 15'!P30)</f>
        <v>0</v>
      </c>
      <c r="P30" s="77">
        <f t="shared" si="7"/>
        <v>0</v>
      </c>
      <c r="Q30" s="77" t="b">
        <f t="shared" si="6"/>
        <v>1</v>
      </c>
      <c r="R30" s="77">
        <f t="shared" si="8"/>
        <v>0</v>
      </c>
    </row>
    <row r="31" spans="1:18" ht="12" customHeight="1" x14ac:dyDescent="0.2">
      <c r="A31" s="60"/>
      <c r="B31" s="52"/>
      <c r="C31" s="52"/>
      <c r="D31" s="52"/>
      <c r="E31" s="53" t="s">
        <v>4</v>
      </c>
      <c r="F31" s="54">
        <f>SUM('CSS Pgm 1:CSS Pgm 15'!G31)</f>
        <v>1469567.7864598278</v>
      </c>
      <c r="G31" s="54">
        <f>SUM('CSS Pgm 1:CSS Pgm 15'!H31)</f>
        <v>1072034.8179091392</v>
      </c>
      <c r="H31" s="54">
        <f>SUM('CSS Pgm 1:CSS Pgm 15'!I31)</f>
        <v>46592.19995547201</v>
      </c>
      <c r="I31" s="54">
        <f>SUM('CSS Pgm 1:CSS Pgm 15'!J31)</f>
        <v>0</v>
      </c>
      <c r="J31" s="54">
        <f>SUM('CSS Pgm 1:CSS Pgm 15'!K31)</f>
        <v>350940.76859521639</v>
      </c>
      <c r="K31" s="54">
        <f>SUM('CSS Pgm 1:CSS Pgm 15'!L31)</f>
        <v>0</v>
      </c>
      <c r="L31" s="54">
        <f>SUM('CSS Pgm 1:CSS Pgm 15'!M31)</f>
        <v>0</v>
      </c>
      <c r="M31" s="54">
        <f>SUM('CSS Pgm 1:CSS Pgm 15'!N31)</f>
        <v>0</v>
      </c>
      <c r="N31" s="54">
        <f>SUM('CSS Pgm 1:CSS Pgm 15'!O31)</f>
        <v>0</v>
      </c>
      <c r="O31" s="54">
        <f>SUM('CSS Pgm 1:CSS Pgm 15'!P31)</f>
        <v>0</v>
      </c>
      <c r="P31" s="77">
        <f t="shared" si="7"/>
        <v>1469567.7864598276</v>
      </c>
      <c r="Q31" s="77" t="b">
        <f t="shared" si="6"/>
        <v>1</v>
      </c>
      <c r="R31" s="77">
        <f t="shared" si="8"/>
        <v>1469567.7864598278</v>
      </c>
    </row>
    <row r="32" spans="1:18" ht="12" customHeight="1" x14ac:dyDescent="0.2">
      <c r="A32" s="60"/>
      <c r="B32" s="52"/>
      <c r="C32" s="52"/>
      <c r="D32" s="52" t="s">
        <v>8</v>
      </c>
      <c r="E32" s="53"/>
      <c r="F32" s="115">
        <f t="shared" ref="F32:O32" si="10">SUM(F30:F31)</f>
        <v>1469567.7864598278</v>
      </c>
      <c r="G32" s="115">
        <f t="shared" si="10"/>
        <v>1072034.8179091392</v>
      </c>
      <c r="H32" s="115">
        <f t="shared" si="10"/>
        <v>46592.19995547201</v>
      </c>
      <c r="I32" s="115">
        <f t="shared" si="10"/>
        <v>0</v>
      </c>
      <c r="J32" s="115">
        <f t="shared" si="10"/>
        <v>350940.76859521639</v>
      </c>
      <c r="K32" s="115">
        <f t="shared" si="10"/>
        <v>0</v>
      </c>
      <c r="L32" s="115">
        <f t="shared" si="10"/>
        <v>0</v>
      </c>
      <c r="M32" s="115">
        <f t="shared" si="10"/>
        <v>0</v>
      </c>
      <c r="N32" s="115">
        <f t="shared" si="10"/>
        <v>0</v>
      </c>
      <c r="O32" s="115">
        <f t="shared" si="10"/>
        <v>0</v>
      </c>
      <c r="P32" s="77">
        <f t="shared" si="7"/>
        <v>1469567.7864598276</v>
      </c>
      <c r="Q32" s="77" t="b">
        <f t="shared" si="6"/>
        <v>1</v>
      </c>
      <c r="R32" s="77">
        <f t="shared" si="8"/>
        <v>1469567.7864598278</v>
      </c>
    </row>
    <row r="33" spans="1:18" ht="12" customHeight="1" x14ac:dyDescent="0.2">
      <c r="A33" s="60"/>
      <c r="B33" s="52"/>
      <c r="C33" s="52" t="s">
        <v>32</v>
      </c>
      <c r="D33" s="52"/>
      <c r="E33" s="53"/>
      <c r="F33" s="115">
        <f t="shared" ref="F33:O33" si="11">F28+F32</f>
        <v>2079145.1923343383</v>
      </c>
      <c r="G33" s="115">
        <f t="shared" si="11"/>
        <v>1254672.7690907642</v>
      </c>
      <c r="H33" s="115">
        <f t="shared" si="11"/>
        <v>226573.49994773429</v>
      </c>
      <c r="I33" s="115">
        <f t="shared" si="11"/>
        <v>0</v>
      </c>
      <c r="J33" s="115">
        <f t="shared" si="11"/>
        <v>597898.92329583969</v>
      </c>
      <c r="K33" s="115">
        <f t="shared" si="11"/>
        <v>0</v>
      </c>
      <c r="L33" s="115">
        <f t="shared" si="11"/>
        <v>0</v>
      </c>
      <c r="M33" s="115">
        <f t="shared" si="11"/>
        <v>0</v>
      </c>
      <c r="N33" s="115">
        <f t="shared" si="11"/>
        <v>0</v>
      </c>
      <c r="O33" s="115">
        <f t="shared" si="11"/>
        <v>0</v>
      </c>
      <c r="P33" s="77">
        <f t="shared" si="7"/>
        <v>2079145.1923343381</v>
      </c>
      <c r="Q33" s="77" t="b">
        <f t="shared" si="6"/>
        <v>1</v>
      </c>
      <c r="R33" s="77">
        <f t="shared" si="8"/>
        <v>2079145.1923343383</v>
      </c>
    </row>
    <row r="34" spans="1:18" ht="12" customHeight="1" x14ac:dyDescent="0.2">
      <c r="A34" s="60"/>
      <c r="B34" s="52"/>
      <c r="C34" s="52" t="s">
        <v>33</v>
      </c>
      <c r="D34" s="52"/>
      <c r="E34" s="53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77">
        <f t="shared" si="7"/>
        <v>0</v>
      </c>
      <c r="Q34" s="77" t="b">
        <f t="shared" si="6"/>
        <v>1</v>
      </c>
      <c r="R34" s="77">
        <f t="shared" si="8"/>
        <v>0</v>
      </c>
    </row>
    <row r="35" spans="1:18" ht="12" customHeight="1" x14ac:dyDescent="0.2">
      <c r="A35" s="60"/>
      <c r="B35" s="52"/>
      <c r="C35" s="52"/>
      <c r="D35" s="52" t="s">
        <v>3</v>
      </c>
      <c r="E35" s="53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77">
        <f>SUM(G35:O35)</f>
        <v>0</v>
      </c>
      <c r="Q35" s="77" t="b">
        <f>EXACT(P35,R35)</f>
        <v>1</v>
      </c>
      <c r="R35" s="77">
        <f>F35</f>
        <v>0</v>
      </c>
    </row>
    <row r="36" spans="1:18" ht="12" customHeight="1" x14ac:dyDescent="0.2">
      <c r="A36" s="60"/>
      <c r="B36" s="52"/>
      <c r="C36" s="52"/>
      <c r="D36" s="52"/>
      <c r="E36" s="53" t="s">
        <v>37</v>
      </c>
      <c r="F36" s="54">
        <f>SUM('CSS Pgm 1:CSS Pgm 15'!G36)</f>
        <v>0</v>
      </c>
      <c r="G36" s="54">
        <f>SUM('CSS Pgm 1:CSS Pgm 15'!H36)</f>
        <v>0</v>
      </c>
      <c r="H36" s="54">
        <f>SUM('CSS Pgm 1:CSS Pgm 15'!I36)</f>
        <v>0</v>
      </c>
      <c r="I36" s="54">
        <f>SUM('CSS Pgm 1:CSS Pgm 15'!J36)</f>
        <v>0</v>
      </c>
      <c r="J36" s="54">
        <f>SUM('CSS Pgm 1:CSS Pgm 15'!K36)</f>
        <v>0</v>
      </c>
      <c r="K36" s="54">
        <f>SUM('CSS Pgm 1:CSS Pgm 15'!L36)</f>
        <v>0</v>
      </c>
      <c r="L36" s="54">
        <f>SUM('CSS Pgm 1:CSS Pgm 15'!M36)</f>
        <v>0</v>
      </c>
      <c r="M36" s="54">
        <f>SUM('CSS Pgm 1:CSS Pgm 15'!N36)</f>
        <v>0</v>
      </c>
      <c r="N36" s="54">
        <f>SUM('CSS Pgm 1:CSS Pgm 15'!O36)</f>
        <v>0</v>
      </c>
      <c r="O36" s="54">
        <f>SUM('CSS Pgm 1:CSS Pgm 15'!P36)</f>
        <v>0</v>
      </c>
      <c r="P36" s="77">
        <f>SUM(G36:O36)</f>
        <v>0</v>
      </c>
      <c r="Q36" s="77" t="b">
        <f t="shared" ref="Q36:Q49" si="12">EXACT(P36,R36)</f>
        <v>1</v>
      </c>
      <c r="R36" s="77">
        <f>F36</f>
        <v>0</v>
      </c>
    </row>
    <row r="37" spans="1:18" ht="12" customHeight="1" x14ac:dyDescent="0.2">
      <c r="A37" s="60"/>
      <c r="B37" s="52"/>
      <c r="C37" s="52"/>
      <c r="D37" s="52"/>
      <c r="E37" s="53" t="s">
        <v>4</v>
      </c>
      <c r="F37" s="54">
        <f>SUM('CSS Pgm 1:CSS Pgm 15'!G37)</f>
        <v>0</v>
      </c>
      <c r="G37" s="54">
        <f>SUM('CSS Pgm 1:CSS Pgm 15'!H37)</f>
        <v>0</v>
      </c>
      <c r="H37" s="54">
        <f>SUM('CSS Pgm 1:CSS Pgm 15'!I37)</f>
        <v>0</v>
      </c>
      <c r="I37" s="54">
        <f>SUM('CSS Pgm 1:CSS Pgm 15'!J37)</f>
        <v>0</v>
      </c>
      <c r="J37" s="54">
        <f>SUM('CSS Pgm 1:CSS Pgm 15'!K37)</f>
        <v>0</v>
      </c>
      <c r="K37" s="54">
        <f>SUM('CSS Pgm 1:CSS Pgm 15'!L37)</f>
        <v>0</v>
      </c>
      <c r="L37" s="54">
        <f>SUM('CSS Pgm 1:CSS Pgm 15'!M37)</f>
        <v>0</v>
      </c>
      <c r="M37" s="54">
        <f>SUM('CSS Pgm 1:CSS Pgm 15'!N37)</f>
        <v>0</v>
      </c>
      <c r="N37" s="54">
        <f>SUM('CSS Pgm 1:CSS Pgm 15'!O37)</f>
        <v>0</v>
      </c>
      <c r="O37" s="54">
        <f>SUM('CSS Pgm 1:CSS Pgm 15'!P37)</f>
        <v>0</v>
      </c>
      <c r="P37" s="77">
        <f>SUM(G37:O37)</f>
        <v>0</v>
      </c>
      <c r="Q37" s="77" t="b">
        <f t="shared" si="12"/>
        <v>1</v>
      </c>
      <c r="R37" s="77">
        <f>F37</f>
        <v>0</v>
      </c>
    </row>
    <row r="38" spans="1:18" ht="12" customHeight="1" x14ac:dyDescent="0.2">
      <c r="A38" s="60"/>
      <c r="B38" s="52"/>
      <c r="C38" s="52"/>
      <c r="D38" s="52" t="s">
        <v>7</v>
      </c>
      <c r="E38" s="53"/>
      <c r="F38" s="115">
        <f t="shared" ref="F38:O38" si="13">SUM(F36:F37)</f>
        <v>0</v>
      </c>
      <c r="G38" s="115">
        <f t="shared" si="13"/>
        <v>0</v>
      </c>
      <c r="H38" s="115">
        <f t="shared" si="13"/>
        <v>0</v>
      </c>
      <c r="I38" s="115">
        <f t="shared" si="13"/>
        <v>0</v>
      </c>
      <c r="J38" s="115">
        <f t="shared" si="13"/>
        <v>0</v>
      </c>
      <c r="K38" s="115">
        <f t="shared" si="13"/>
        <v>0</v>
      </c>
      <c r="L38" s="115">
        <f t="shared" si="13"/>
        <v>0</v>
      </c>
      <c r="M38" s="115">
        <f t="shared" si="13"/>
        <v>0</v>
      </c>
      <c r="N38" s="115">
        <f t="shared" si="13"/>
        <v>0</v>
      </c>
      <c r="O38" s="115">
        <f t="shared" si="13"/>
        <v>0</v>
      </c>
      <c r="P38" s="77">
        <f t="shared" ref="P38:P49" si="14">SUM(G38:O38)</f>
        <v>0</v>
      </c>
      <c r="Q38" s="77" t="b">
        <f t="shared" si="12"/>
        <v>1</v>
      </c>
      <c r="R38" s="77">
        <f t="shared" ref="R38:R49" si="15">F38</f>
        <v>0</v>
      </c>
    </row>
    <row r="39" spans="1:18" ht="12" customHeight="1" x14ac:dyDescent="0.2">
      <c r="A39" s="60"/>
      <c r="B39" s="52"/>
      <c r="C39" s="52"/>
      <c r="D39" s="52" t="s">
        <v>5</v>
      </c>
      <c r="E39" s="53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77">
        <f t="shared" si="14"/>
        <v>0</v>
      </c>
      <c r="Q39" s="77" t="b">
        <f t="shared" si="12"/>
        <v>1</v>
      </c>
      <c r="R39" s="77">
        <f t="shared" si="15"/>
        <v>0</v>
      </c>
    </row>
    <row r="40" spans="1:18" ht="12" customHeight="1" x14ac:dyDescent="0.2">
      <c r="A40" s="60"/>
      <c r="B40" s="52"/>
      <c r="C40" s="52"/>
      <c r="D40" s="52"/>
      <c r="E40" s="53" t="s">
        <v>37</v>
      </c>
      <c r="F40" s="54">
        <f>SUM('CSS Pgm 1:CSS Pgm 15'!G40)</f>
        <v>0</v>
      </c>
      <c r="G40" s="54">
        <f>SUM('CSS Pgm 1:CSS Pgm 15'!H40)</f>
        <v>0</v>
      </c>
      <c r="H40" s="54">
        <f>SUM('CSS Pgm 1:CSS Pgm 15'!I40)</f>
        <v>0</v>
      </c>
      <c r="I40" s="54">
        <f>SUM('CSS Pgm 1:CSS Pgm 15'!J40)</f>
        <v>0</v>
      </c>
      <c r="J40" s="54">
        <f>SUM('CSS Pgm 1:CSS Pgm 15'!K40)</f>
        <v>0</v>
      </c>
      <c r="K40" s="54">
        <f>SUM('CSS Pgm 1:CSS Pgm 15'!L40)</f>
        <v>0</v>
      </c>
      <c r="L40" s="54">
        <f>SUM('CSS Pgm 1:CSS Pgm 15'!M40)</f>
        <v>0</v>
      </c>
      <c r="M40" s="54">
        <f>SUM('CSS Pgm 1:CSS Pgm 15'!N40)</f>
        <v>0</v>
      </c>
      <c r="N40" s="54">
        <f>SUM('CSS Pgm 1:CSS Pgm 15'!O40)</f>
        <v>0</v>
      </c>
      <c r="O40" s="54">
        <f>SUM('CSS Pgm 1:CSS Pgm 15'!P40)</f>
        <v>0</v>
      </c>
      <c r="P40" s="77">
        <f t="shared" si="14"/>
        <v>0</v>
      </c>
      <c r="Q40" s="77" t="b">
        <f t="shared" si="12"/>
        <v>1</v>
      </c>
      <c r="R40" s="77">
        <f t="shared" si="15"/>
        <v>0</v>
      </c>
    </row>
    <row r="41" spans="1:18" ht="12" customHeight="1" x14ac:dyDescent="0.2">
      <c r="A41" s="60"/>
      <c r="B41" s="52"/>
      <c r="C41" s="52"/>
      <c r="D41" s="52"/>
      <c r="E41" s="53" t="s">
        <v>4</v>
      </c>
      <c r="F41" s="54">
        <f>SUM('CSS Pgm 1:CSS Pgm 15'!G41)</f>
        <v>0</v>
      </c>
      <c r="G41" s="54">
        <f>SUM('CSS Pgm 1:CSS Pgm 15'!H41)</f>
        <v>0</v>
      </c>
      <c r="H41" s="54">
        <f>SUM('CSS Pgm 1:CSS Pgm 15'!I41)</f>
        <v>0</v>
      </c>
      <c r="I41" s="54">
        <f>SUM('CSS Pgm 1:CSS Pgm 15'!J41)</f>
        <v>0</v>
      </c>
      <c r="J41" s="54">
        <f>SUM('CSS Pgm 1:CSS Pgm 15'!K41)</f>
        <v>0</v>
      </c>
      <c r="K41" s="54">
        <f>SUM('CSS Pgm 1:CSS Pgm 15'!L41)</f>
        <v>0</v>
      </c>
      <c r="L41" s="54">
        <f>SUM('CSS Pgm 1:CSS Pgm 15'!M41)</f>
        <v>0</v>
      </c>
      <c r="M41" s="54">
        <f>SUM('CSS Pgm 1:CSS Pgm 15'!N41)</f>
        <v>0</v>
      </c>
      <c r="N41" s="54">
        <f>SUM('CSS Pgm 1:CSS Pgm 15'!O41)</f>
        <v>0</v>
      </c>
      <c r="O41" s="54">
        <f>SUM('CSS Pgm 1:CSS Pgm 15'!P41)</f>
        <v>0</v>
      </c>
      <c r="P41" s="77">
        <f t="shared" si="14"/>
        <v>0</v>
      </c>
      <c r="Q41" s="77" t="b">
        <f t="shared" si="12"/>
        <v>1</v>
      </c>
      <c r="R41" s="77">
        <f t="shared" si="15"/>
        <v>0</v>
      </c>
    </row>
    <row r="42" spans="1:18" ht="12" customHeight="1" x14ac:dyDescent="0.2">
      <c r="A42" s="60"/>
      <c r="B42" s="52"/>
      <c r="C42" s="52"/>
      <c r="D42" s="52" t="s">
        <v>8</v>
      </c>
      <c r="E42" s="53"/>
      <c r="F42" s="115">
        <f t="shared" ref="F42:O42" si="16">SUM(F40:F41)</f>
        <v>0</v>
      </c>
      <c r="G42" s="115">
        <f t="shared" si="16"/>
        <v>0</v>
      </c>
      <c r="H42" s="115">
        <f t="shared" si="16"/>
        <v>0</v>
      </c>
      <c r="I42" s="115">
        <f t="shared" si="16"/>
        <v>0</v>
      </c>
      <c r="J42" s="115">
        <f t="shared" si="16"/>
        <v>0</v>
      </c>
      <c r="K42" s="115">
        <f t="shared" si="16"/>
        <v>0</v>
      </c>
      <c r="L42" s="115">
        <f t="shared" si="16"/>
        <v>0</v>
      </c>
      <c r="M42" s="115">
        <f t="shared" si="16"/>
        <v>0</v>
      </c>
      <c r="N42" s="115">
        <f t="shared" si="16"/>
        <v>0</v>
      </c>
      <c r="O42" s="115">
        <f t="shared" si="16"/>
        <v>0</v>
      </c>
      <c r="P42" s="77">
        <f t="shared" si="14"/>
        <v>0</v>
      </c>
      <c r="Q42" s="77" t="b">
        <f t="shared" si="12"/>
        <v>1</v>
      </c>
      <c r="R42" s="77">
        <f t="shared" si="15"/>
        <v>0</v>
      </c>
    </row>
    <row r="43" spans="1:18" ht="12" customHeight="1" x14ac:dyDescent="0.2">
      <c r="A43" s="60"/>
      <c r="B43" s="52"/>
      <c r="C43" s="52" t="s">
        <v>34</v>
      </c>
      <c r="D43" s="52"/>
      <c r="E43" s="53"/>
      <c r="F43" s="115">
        <f t="shared" ref="F43:O43" si="17">F38+F42</f>
        <v>0</v>
      </c>
      <c r="G43" s="115">
        <f t="shared" si="17"/>
        <v>0</v>
      </c>
      <c r="H43" s="115">
        <f t="shared" si="17"/>
        <v>0</v>
      </c>
      <c r="I43" s="115">
        <f t="shared" si="17"/>
        <v>0</v>
      </c>
      <c r="J43" s="115">
        <f t="shared" si="17"/>
        <v>0</v>
      </c>
      <c r="K43" s="115">
        <f t="shared" si="17"/>
        <v>0</v>
      </c>
      <c r="L43" s="115">
        <f t="shared" si="17"/>
        <v>0</v>
      </c>
      <c r="M43" s="115">
        <f t="shared" si="17"/>
        <v>0</v>
      </c>
      <c r="N43" s="115">
        <f t="shared" si="17"/>
        <v>0</v>
      </c>
      <c r="O43" s="115">
        <f t="shared" si="17"/>
        <v>0</v>
      </c>
      <c r="P43" s="77">
        <f t="shared" si="14"/>
        <v>0</v>
      </c>
      <c r="Q43" s="77" t="b">
        <f t="shared" si="12"/>
        <v>1</v>
      </c>
      <c r="R43" s="77">
        <f t="shared" si="15"/>
        <v>0</v>
      </c>
    </row>
    <row r="44" spans="1:18" ht="12" customHeight="1" x14ac:dyDescent="0.2">
      <c r="A44" s="55"/>
      <c r="B44" s="56" t="s">
        <v>80</v>
      </c>
      <c r="C44" s="56"/>
      <c r="D44" s="56"/>
      <c r="E44" s="57"/>
      <c r="F44" s="116">
        <f t="shared" ref="F44:O44" si="18">F33+F43</f>
        <v>2079145.1923343383</v>
      </c>
      <c r="G44" s="116">
        <f t="shared" si="18"/>
        <v>1254672.7690907642</v>
      </c>
      <c r="H44" s="116">
        <f t="shared" si="18"/>
        <v>226573.49994773429</v>
      </c>
      <c r="I44" s="116">
        <f t="shared" si="18"/>
        <v>0</v>
      </c>
      <c r="J44" s="116">
        <f t="shared" si="18"/>
        <v>597898.92329583969</v>
      </c>
      <c r="K44" s="116">
        <f t="shared" si="18"/>
        <v>0</v>
      </c>
      <c r="L44" s="116">
        <f t="shared" si="18"/>
        <v>0</v>
      </c>
      <c r="M44" s="116">
        <f t="shared" si="18"/>
        <v>0</v>
      </c>
      <c r="N44" s="116">
        <f t="shared" si="18"/>
        <v>0</v>
      </c>
      <c r="O44" s="116">
        <f t="shared" si="18"/>
        <v>0</v>
      </c>
      <c r="P44" s="77">
        <f t="shared" si="14"/>
        <v>2079145.1923343381</v>
      </c>
      <c r="Q44" s="77" t="b">
        <f t="shared" si="12"/>
        <v>1</v>
      </c>
      <c r="R44" s="77">
        <f t="shared" si="15"/>
        <v>2079145.1923343383</v>
      </c>
    </row>
    <row r="45" spans="1:18" ht="12" customHeight="1" x14ac:dyDescent="0.2">
      <c r="A45" s="60"/>
      <c r="B45" s="209" t="s">
        <v>12</v>
      </c>
      <c r="C45" s="209"/>
      <c r="D45" s="209"/>
      <c r="E45" s="210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77">
        <f t="shared" si="14"/>
        <v>0</v>
      </c>
      <c r="Q45" s="77" t="b">
        <f t="shared" si="12"/>
        <v>1</v>
      </c>
      <c r="R45" s="77">
        <f t="shared" si="15"/>
        <v>0</v>
      </c>
    </row>
    <row r="46" spans="1:18" ht="12" customHeight="1" x14ac:dyDescent="0.2">
      <c r="A46" s="60"/>
      <c r="B46" s="52"/>
      <c r="C46" s="52" t="s">
        <v>3</v>
      </c>
      <c r="D46" s="52"/>
      <c r="E46" s="53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77">
        <f t="shared" si="14"/>
        <v>0</v>
      </c>
      <c r="Q46" s="77" t="b">
        <f t="shared" si="12"/>
        <v>1</v>
      </c>
      <c r="R46" s="77">
        <f t="shared" si="15"/>
        <v>0</v>
      </c>
    </row>
    <row r="47" spans="1:18" ht="12" customHeight="1" x14ac:dyDescent="0.2">
      <c r="A47" s="60"/>
      <c r="B47" s="52"/>
      <c r="C47" s="52"/>
      <c r="D47" s="52" t="s">
        <v>10</v>
      </c>
      <c r="E47" s="53"/>
      <c r="F47" s="54">
        <f>SUM('CSS Pgm 1:CSS Pgm 15'!G47)</f>
        <v>0</v>
      </c>
      <c r="G47" s="54">
        <f>SUM('CSS Pgm 1:CSS Pgm 15'!H47)</f>
        <v>0</v>
      </c>
      <c r="H47" s="54">
        <f>SUM('CSS Pgm 1:CSS Pgm 15'!I47)</f>
        <v>0</v>
      </c>
      <c r="I47" s="54">
        <f>SUM('CSS Pgm 1:CSS Pgm 15'!J47)</f>
        <v>0</v>
      </c>
      <c r="J47" s="54">
        <f>SUM('CSS Pgm 1:CSS Pgm 15'!K47)</f>
        <v>0</v>
      </c>
      <c r="K47" s="54">
        <f>SUM('CSS Pgm 1:CSS Pgm 15'!L47)</f>
        <v>0</v>
      </c>
      <c r="L47" s="54">
        <f>SUM('CSS Pgm 1:CSS Pgm 15'!M47)</f>
        <v>0</v>
      </c>
      <c r="M47" s="54">
        <f>SUM('CSS Pgm 1:CSS Pgm 15'!N47)</f>
        <v>0</v>
      </c>
      <c r="N47" s="54">
        <f>SUM('CSS Pgm 1:CSS Pgm 15'!O47)</f>
        <v>0</v>
      </c>
      <c r="O47" s="54">
        <f>SUM('CSS Pgm 1:CSS Pgm 15'!P47)</f>
        <v>0</v>
      </c>
      <c r="P47" s="77">
        <f t="shared" si="14"/>
        <v>0</v>
      </c>
      <c r="Q47" s="77" t="b">
        <f t="shared" si="12"/>
        <v>1</v>
      </c>
      <c r="R47" s="77">
        <f t="shared" si="15"/>
        <v>0</v>
      </c>
    </row>
    <row r="48" spans="1:18" ht="12" customHeight="1" x14ac:dyDescent="0.2">
      <c r="A48" s="60"/>
      <c r="B48" s="52"/>
      <c r="C48" s="52"/>
      <c r="D48" s="52" t="s">
        <v>11</v>
      </c>
      <c r="E48" s="53"/>
      <c r="F48" s="54">
        <f>SUM('CSS Pgm 1:CSS Pgm 15'!G48)</f>
        <v>0</v>
      </c>
      <c r="G48" s="54">
        <f>SUM('CSS Pgm 1:CSS Pgm 15'!H48)</f>
        <v>0</v>
      </c>
      <c r="H48" s="54">
        <f>SUM('CSS Pgm 1:CSS Pgm 15'!I48)</f>
        <v>0</v>
      </c>
      <c r="I48" s="54">
        <f>SUM('CSS Pgm 1:CSS Pgm 15'!J48)</f>
        <v>0</v>
      </c>
      <c r="J48" s="54">
        <f>SUM('CSS Pgm 1:CSS Pgm 15'!K48)</f>
        <v>0</v>
      </c>
      <c r="K48" s="54">
        <f>SUM('CSS Pgm 1:CSS Pgm 15'!L48)</f>
        <v>0</v>
      </c>
      <c r="L48" s="54">
        <f>SUM('CSS Pgm 1:CSS Pgm 15'!M48)</f>
        <v>0</v>
      </c>
      <c r="M48" s="54">
        <f>SUM('CSS Pgm 1:CSS Pgm 15'!N48)</f>
        <v>0</v>
      </c>
      <c r="N48" s="54">
        <f>SUM('CSS Pgm 1:CSS Pgm 15'!O48)</f>
        <v>0</v>
      </c>
      <c r="O48" s="54">
        <f>SUM('CSS Pgm 1:CSS Pgm 15'!P48)</f>
        <v>0</v>
      </c>
      <c r="P48" s="77">
        <f t="shared" si="14"/>
        <v>0</v>
      </c>
      <c r="Q48" s="77" t="b">
        <f t="shared" si="12"/>
        <v>1</v>
      </c>
      <c r="R48" s="77">
        <f t="shared" si="15"/>
        <v>0</v>
      </c>
    </row>
    <row r="49" spans="1:18" ht="12" customHeight="1" x14ac:dyDescent="0.2">
      <c r="A49" s="60"/>
      <c r="B49" s="52"/>
      <c r="C49" s="52"/>
      <c r="D49" s="52" t="s">
        <v>37</v>
      </c>
      <c r="E49" s="53"/>
      <c r="F49" s="54">
        <f>SUM('CSS Pgm 1:CSS Pgm 15'!G49)</f>
        <v>54155.884066693536</v>
      </c>
      <c r="G49" s="54">
        <f>SUM('CSS Pgm 1:CSS Pgm 15'!H49)</f>
        <v>24622.999335474895</v>
      </c>
      <c r="H49" s="54">
        <f>SUM('CSS Pgm 1:CSS Pgm 15'!I49)</f>
        <v>9472.6999995927526</v>
      </c>
      <c r="I49" s="54">
        <f>SUM('CSS Pgm 1:CSS Pgm 15'!J49)</f>
        <v>0</v>
      </c>
      <c r="J49" s="54">
        <f>SUM('CSS Pgm 1:CSS Pgm 15'!K49)</f>
        <v>20060.184731625894</v>
      </c>
      <c r="K49" s="54">
        <f>SUM('CSS Pgm 1:CSS Pgm 15'!L49)</f>
        <v>0</v>
      </c>
      <c r="L49" s="54">
        <f>SUM('CSS Pgm 1:CSS Pgm 15'!M49)</f>
        <v>0</v>
      </c>
      <c r="M49" s="54">
        <f>SUM('CSS Pgm 1:CSS Pgm 15'!N49)</f>
        <v>0</v>
      </c>
      <c r="N49" s="54">
        <f>SUM('CSS Pgm 1:CSS Pgm 15'!O49)</f>
        <v>0</v>
      </c>
      <c r="O49" s="54">
        <f>SUM('CSS Pgm 1:CSS Pgm 15'!P49)</f>
        <v>0</v>
      </c>
      <c r="P49" s="77">
        <f t="shared" si="14"/>
        <v>54155.884066693543</v>
      </c>
      <c r="Q49" s="77" t="b">
        <f t="shared" si="12"/>
        <v>1</v>
      </c>
      <c r="R49" s="77">
        <f t="shared" si="15"/>
        <v>54155.884066693536</v>
      </c>
    </row>
    <row r="50" spans="1:18" ht="12" customHeight="1" x14ac:dyDescent="0.2">
      <c r="A50" s="60"/>
      <c r="B50" s="52"/>
      <c r="C50" s="52"/>
      <c r="D50" s="52" t="s">
        <v>4</v>
      </c>
      <c r="E50" s="53"/>
      <c r="F50" s="54">
        <f>SUM('CSS Pgm 1:CSS Pgm 15'!G50)</f>
        <v>6906.0188779883929</v>
      </c>
      <c r="G50" s="54">
        <f>SUM('CSS Pgm 1:CSS Pgm 15'!H50)</f>
        <v>4696.3834810094386</v>
      </c>
      <c r="H50" s="54">
        <f>SUM('CSS Pgm 1:CSS Pgm 15'!I50)</f>
        <v>0</v>
      </c>
      <c r="I50" s="54">
        <f>SUM('CSS Pgm 1:CSS Pgm 15'!J50)</f>
        <v>0</v>
      </c>
      <c r="J50" s="54">
        <f>SUM('CSS Pgm 1:CSS Pgm 15'!K50)</f>
        <v>2209.6353969789543</v>
      </c>
      <c r="K50" s="54">
        <f>SUM('CSS Pgm 1:CSS Pgm 15'!L50)</f>
        <v>0</v>
      </c>
      <c r="L50" s="54">
        <f>SUM('CSS Pgm 1:CSS Pgm 15'!M50)</f>
        <v>0</v>
      </c>
      <c r="M50" s="54">
        <f>SUM('CSS Pgm 1:CSS Pgm 15'!N50)</f>
        <v>0</v>
      </c>
      <c r="N50" s="54">
        <f>SUM('CSS Pgm 1:CSS Pgm 15'!O50)</f>
        <v>0</v>
      </c>
      <c r="O50" s="54">
        <f>SUM('CSS Pgm 1:CSS Pgm 15'!P50)</f>
        <v>0</v>
      </c>
      <c r="P50" s="77">
        <f>SUM(G50:O50)</f>
        <v>6906.0188779883929</v>
      </c>
      <c r="Q50" s="77" t="b">
        <f>EXACT(P50,R50)</f>
        <v>1</v>
      </c>
      <c r="R50" s="77">
        <f>F50</f>
        <v>6906.0188779883929</v>
      </c>
    </row>
    <row r="51" spans="1:18" ht="12" customHeight="1" x14ac:dyDescent="0.2">
      <c r="A51" s="60"/>
      <c r="B51" s="52"/>
      <c r="C51" s="52" t="s">
        <v>7</v>
      </c>
      <c r="D51" s="52"/>
      <c r="E51" s="53"/>
      <c r="F51" s="115">
        <f t="shared" ref="F51:O51" si="19">SUM(F47:F50)</f>
        <v>61061.902944681926</v>
      </c>
      <c r="G51" s="115">
        <f t="shared" si="19"/>
        <v>29319.382816484333</v>
      </c>
      <c r="H51" s="115">
        <f t="shared" si="19"/>
        <v>9472.6999995927526</v>
      </c>
      <c r="I51" s="115">
        <f t="shared" si="19"/>
        <v>0</v>
      </c>
      <c r="J51" s="115">
        <f t="shared" si="19"/>
        <v>22269.82012860485</v>
      </c>
      <c r="K51" s="115">
        <f t="shared" si="19"/>
        <v>0</v>
      </c>
      <c r="L51" s="115">
        <f t="shared" si="19"/>
        <v>0</v>
      </c>
      <c r="M51" s="115">
        <f t="shared" si="19"/>
        <v>0</v>
      </c>
      <c r="N51" s="115">
        <f t="shared" si="19"/>
        <v>0</v>
      </c>
      <c r="O51" s="115">
        <f t="shared" si="19"/>
        <v>0</v>
      </c>
      <c r="P51" s="77">
        <f>SUM(G51:O51)</f>
        <v>61061.902944681933</v>
      </c>
      <c r="Q51" s="77" t="b">
        <f>EXACT(P51,R51)</f>
        <v>1</v>
      </c>
      <c r="R51" s="77">
        <f>F51</f>
        <v>61061.902944681926</v>
      </c>
    </row>
    <row r="52" spans="1:18" ht="12" customHeight="1" x14ac:dyDescent="0.2">
      <c r="A52" s="60"/>
      <c r="B52" s="52"/>
      <c r="C52" s="52" t="s">
        <v>5</v>
      </c>
      <c r="D52" s="52"/>
      <c r="E52" s="53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77">
        <f>SUM(G52:O52)</f>
        <v>0</v>
      </c>
      <c r="Q52" s="77" t="b">
        <f>EXACT(P52,R52)</f>
        <v>1</v>
      </c>
      <c r="R52" s="77">
        <f>F52</f>
        <v>0</v>
      </c>
    </row>
    <row r="53" spans="1:18" ht="12" customHeight="1" x14ac:dyDescent="0.2">
      <c r="A53" s="60"/>
      <c r="B53" s="52"/>
      <c r="C53" s="52"/>
      <c r="D53" s="52" t="s">
        <v>10</v>
      </c>
      <c r="E53" s="53"/>
      <c r="F53" s="54">
        <f>SUM('CSS Pgm 1:CSS Pgm 15'!G53)</f>
        <v>0</v>
      </c>
      <c r="G53" s="54">
        <f>SUM('CSS Pgm 1:CSS Pgm 15'!H53)</f>
        <v>0</v>
      </c>
      <c r="H53" s="54">
        <f>SUM('CSS Pgm 1:CSS Pgm 15'!I53)</f>
        <v>0</v>
      </c>
      <c r="I53" s="54">
        <f>SUM('CSS Pgm 1:CSS Pgm 15'!J53)</f>
        <v>0</v>
      </c>
      <c r="J53" s="54">
        <f>SUM('CSS Pgm 1:CSS Pgm 15'!K53)</f>
        <v>0</v>
      </c>
      <c r="K53" s="54">
        <f>SUM('CSS Pgm 1:CSS Pgm 15'!L53)</f>
        <v>0</v>
      </c>
      <c r="L53" s="54">
        <f>SUM('CSS Pgm 1:CSS Pgm 15'!M53)</f>
        <v>0</v>
      </c>
      <c r="M53" s="54">
        <f>SUM('CSS Pgm 1:CSS Pgm 15'!N53)</f>
        <v>0</v>
      </c>
      <c r="N53" s="54">
        <f>SUM('CSS Pgm 1:CSS Pgm 15'!O53)</f>
        <v>0</v>
      </c>
      <c r="O53" s="54">
        <f>SUM('CSS Pgm 1:CSS Pgm 15'!P53)</f>
        <v>0</v>
      </c>
      <c r="P53" s="77">
        <f>SUM(G53:O53)</f>
        <v>0</v>
      </c>
      <c r="Q53" s="77" t="b">
        <f>EXACT(P53,R53)</f>
        <v>1</v>
      </c>
      <c r="R53" s="77">
        <f>F53</f>
        <v>0</v>
      </c>
    </row>
    <row r="54" spans="1:18" ht="12" customHeight="1" x14ac:dyDescent="0.2">
      <c r="A54" s="60"/>
      <c r="B54" s="52"/>
      <c r="C54" s="52"/>
      <c r="D54" s="52" t="s">
        <v>11</v>
      </c>
      <c r="E54" s="53"/>
      <c r="F54" s="54">
        <f>SUM('CSS Pgm 1:CSS Pgm 15'!G54)</f>
        <v>0</v>
      </c>
      <c r="G54" s="54">
        <f>SUM('CSS Pgm 1:CSS Pgm 15'!H54)</f>
        <v>0</v>
      </c>
      <c r="H54" s="54">
        <f>SUM('CSS Pgm 1:CSS Pgm 15'!I54)</f>
        <v>0</v>
      </c>
      <c r="I54" s="54">
        <f>SUM('CSS Pgm 1:CSS Pgm 15'!J54)</f>
        <v>0</v>
      </c>
      <c r="J54" s="54">
        <f>SUM('CSS Pgm 1:CSS Pgm 15'!K54)</f>
        <v>0</v>
      </c>
      <c r="K54" s="54">
        <f>SUM('CSS Pgm 1:CSS Pgm 15'!L54)</f>
        <v>0</v>
      </c>
      <c r="L54" s="54">
        <f>SUM('CSS Pgm 1:CSS Pgm 15'!M54)</f>
        <v>0</v>
      </c>
      <c r="M54" s="54">
        <f>SUM('CSS Pgm 1:CSS Pgm 15'!N54)</f>
        <v>0</v>
      </c>
      <c r="N54" s="54">
        <f>SUM('CSS Pgm 1:CSS Pgm 15'!O54)</f>
        <v>0</v>
      </c>
      <c r="O54" s="54">
        <f>SUM('CSS Pgm 1:CSS Pgm 15'!P54)</f>
        <v>0</v>
      </c>
      <c r="P54" s="77">
        <f>SUM(G54:O54)</f>
        <v>0</v>
      </c>
      <c r="Q54" s="77" t="b">
        <f>EXACT(P54,R54)</f>
        <v>1</v>
      </c>
      <c r="R54" s="77">
        <f>F54</f>
        <v>0</v>
      </c>
    </row>
    <row r="55" spans="1:18" ht="12" customHeight="1" x14ac:dyDescent="0.2">
      <c r="A55" s="60"/>
      <c r="B55" s="52"/>
      <c r="C55" s="52"/>
      <c r="D55" s="52" t="s">
        <v>37</v>
      </c>
      <c r="E55" s="53"/>
      <c r="F55" s="54">
        <f>SUM('CSS Pgm 1:CSS Pgm 15'!G55)</f>
        <v>1E-8</v>
      </c>
      <c r="G55" s="54">
        <f>SUM('CSS Pgm 1:CSS Pgm 15'!H55)</f>
        <v>1E-8</v>
      </c>
      <c r="H55" s="54">
        <f>SUM('CSS Pgm 1:CSS Pgm 15'!I55)</f>
        <v>0</v>
      </c>
      <c r="I55" s="54">
        <f>SUM('CSS Pgm 1:CSS Pgm 15'!J55)</f>
        <v>0</v>
      </c>
      <c r="J55" s="54">
        <f>SUM('CSS Pgm 1:CSS Pgm 15'!K55)</f>
        <v>0</v>
      </c>
      <c r="K55" s="54">
        <f>SUM('CSS Pgm 1:CSS Pgm 15'!L55)</f>
        <v>0</v>
      </c>
      <c r="L55" s="54">
        <f>SUM('CSS Pgm 1:CSS Pgm 15'!M55)</f>
        <v>0</v>
      </c>
      <c r="M55" s="54">
        <f>SUM('CSS Pgm 1:CSS Pgm 15'!N55)</f>
        <v>0</v>
      </c>
      <c r="N55" s="54">
        <f>SUM('CSS Pgm 1:CSS Pgm 15'!O55)</f>
        <v>0</v>
      </c>
      <c r="O55" s="54">
        <f>SUM('CSS Pgm 1:CSS Pgm 15'!P55)</f>
        <v>0</v>
      </c>
      <c r="P55" s="99"/>
      <c r="Q55" s="99"/>
      <c r="R55" s="99"/>
    </row>
    <row r="56" spans="1:18" ht="12" customHeight="1" x14ac:dyDescent="0.2">
      <c r="A56" s="60"/>
      <c r="B56" s="52"/>
      <c r="C56" s="52"/>
      <c r="D56" s="52" t="s">
        <v>4</v>
      </c>
      <c r="E56" s="53"/>
      <c r="F56" s="54">
        <f>SUM('CSS Pgm 1:CSS Pgm 15'!G56)</f>
        <v>118873.4439640153</v>
      </c>
      <c r="G56" s="54">
        <f>SUM('CSS Pgm 1:CSS Pgm 15'!H56)</f>
        <v>102140.16262704757</v>
      </c>
      <c r="H56" s="54">
        <f>SUM('CSS Pgm 1:CSS Pgm 15'!I56)</f>
        <v>4376.8000171569738</v>
      </c>
      <c r="I56" s="54">
        <f>SUM('CSS Pgm 1:CSS Pgm 15'!J56)</f>
        <v>0</v>
      </c>
      <c r="J56" s="54">
        <f>SUM('CSS Pgm 1:CSS Pgm 15'!K56)</f>
        <v>12356.481319810775</v>
      </c>
      <c r="K56" s="54">
        <f>SUM('CSS Pgm 1:CSS Pgm 15'!L56)</f>
        <v>0</v>
      </c>
      <c r="L56" s="54">
        <f>SUM('CSS Pgm 1:CSS Pgm 15'!M56)</f>
        <v>0</v>
      </c>
      <c r="M56" s="54">
        <f>SUM('CSS Pgm 1:CSS Pgm 15'!N56)</f>
        <v>0</v>
      </c>
      <c r="N56" s="54">
        <f>SUM('CSS Pgm 1:CSS Pgm 15'!O56)</f>
        <v>0</v>
      </c>
      <c r="O56" s="54">
        <f>SUM('CSS Pgm 1:CSS Pgm 15'!P56)</f>
        <v>0</v>
      </c>
      <c r="P56" s="99"/>
      <c r="Q56" s="99"/>
      <c r="R56" s="99"/>
    </row>
    <row r="57" spans="1:18" ht="12" customHeight="1" x14ac:dyDescent="0.2">
      <c r="A57" s="60"/>
      <c r="B57" s="52"/>
      <c r="C57" s="52" t="s">
        <v>8</v>
      </c>
      <c r="D57" s="52"/>
      <c r="E57" s="53"/>
      <c r="F57" s="115">
        <f t="shared" ref="F57:O57" si="20">SUM(F53:F56)</f>
        <v>118873.4439640253</v>
      </c>
      <c r="G57" s="115">
        <f t="shared" si="20"/>
        <v>102140.16262705757</v>
      </c>
      <c r="H57" s="115">
        <f t="shared" si="20"/>
        <v>4376.8000171569738</v>
      </c>
      <c r="I57" s="115">
        <f t="shared" si="20"/>
        <v>0</v>
      </c>
      <c r="J57" s="115">
        <f t="shared" si="20"/>
        <v>12356.481319810775</v>
      </c>
      <c r="K57" s="115">
        <f t="shared" si="20"/>
        <v>0</v>
      </c>
      <c r="L57" s="115">
        <f t="shared" si="20"/>
        <v>0</v>
      </c>
      <c r="M57" s="115">
        <f t="shared" si="20"/>
        <v>0</v>
      </c>
      <c r="N57" s="115">
        <f t="shared" si="20"/>
        <v>0</v>
      </c>
      <c r="O57" s="115">
        <f t="shared" si="20"/>
        <v>0</v>
      </c>
      <c r="P57" s="99"/>
      <c r="Q57" s="99"/>
      <c r="R57" s="99"/>
    </row>
    <row r="58" spans="1:18" ht="18.75" customHeight="1" x14ac:dyDescent="0.2">
      <c r="A58" s="55"/>
      <c r="B58" s="56" t="s">
        <v>13</v>
      </c>
      <c r="C58" s="56"/>
      <c r="D58" s="56"/>
      <c r="E58" s="57"/>
      <c r="F58" s="116">
        <f t="shared" ref="F58:O58" si="21">F57+F51</f>
        <v>179935.34690870723</v>
      </c>
      <c r="G58" s="116">
        <f t="shared" si="21"/>
        <v>131459.54544354189</v>
      </c>
      <c r="H58" s="116">
        <f t="shared" si="21"/>
        <v>13849.500016749727</v>
      </c>
      <c r="I58" s="116">
        <f t="shared" si="21"/>
        <v>0</v>
      </c>
      <c r="J58" s="116">
        <f t="shared" si="21"/>
        <v>34626.301448415623</v>
      </c>
      <c r="K58" s="116">
        <f t="shared" si="21"/>
        <v>0</v>
      </c>
      <c r="L58" s="116">
        <f t="shared" si="21"/>
        <v>0</v>
      </c>
      <c r="M58" s="116">
        <f t="shared" si="21"/>
        <v>0</v>
      </c>
      <c r="N58" s="116">
        <f t="shared" si="21"/>
        <v>0</v>
      </c>
      <c r="O58" s="116">
        <f t="shared" si="21"/>
        <v>0</v>
      </c>
      <c r="P58" s="99"/>
      <c r="Q58" s="99"/>
      <c r="R58" s="99"/>
    </row>
    <row r="59" spans="1:18" ht="19.5" customHeight="1" x14ac:dyDescent="0.25">
      <c r="A59" s="117" t="s">
        <v>39</v>
      </c>
      <c r="B59" s="105"/>
      <c r="C59" s="105"/>
      <c r="D59" s="105"/>
      <c r="E59" s="106"/>
      <c r="F59" s="118">
        <f t="shared" ref="F59:O59" si="22">F22+F44+F58</f>
        <v>5037476.00000004</v>
      </c>
      <c r="G59" s="118">
        <f t="shared" si="22"/>
        <v>3430579.0000860561</v>
      </c>
      <c r="H59" s="118">
        <f t="shared" si="22"/>
        <v>240422.99996448401</v>
      </c>
      <c r="I59" s="118">
        <f t="shared" si="22"/>
        <v>0</v>
      </c>
      <c r="J59" s="118">
        <f t="shared" si="22"/>
        <v>1366473.9999495</v>
      </c>
      <c r="K59" s="118">
        <f t="shared" si="22"/>
        <v>0</v>
      </c>
      <c r="L59" s="118">
        <f t="shared" si="22"/>
        <v>0</v>
      </c>
      <c r="M59" s="118">
        <f t="shared" si="22"/>
        <v>0</v>
      </c>
      <c r="N59" s="118">
        <f t="shared" si="22"/>
        <v>0</v>
      </c>
      <c r="O59" s="118">
        <f t="shared" si="22"/>
        <v>0</v>
      </c>
      <c r="P59" s="99"/>
      <c r="Q59" s="99"/>
      <c r="R59" s="99"/>
    </row>
    <row r="60" spans="1:18" x14ac:dyDescent="0.2">
      <c r="A60" s="74"/>
      <c r="B60" s="74"/>
      <c r="C60" s="74"/>
      <c r="D60" s="74"/>
      <c r="E60" s="74"/>
      <c r="F60" s="74"/>
      <c r="G60" s="74"/>
      <c r="P60" s="99"/>
      <c r="Q60" s="99"/>
      <c r="R60" s="99"/>
    </row>
    <row r="61" spans="1:18" x14ac:dyDescent="0.2">
      <c r="A61" s="74"/>
      <c r="B61" s="74"/>
      <c r="C61" s="74"/>
      <c r="D61" s="74"/>
      <c r="E61" s="74"/>
      <c r="F61" s="94">
        <f>3849084-404605</f>
        <v>3444479</v>
      </c>
      <c r="G61" s="94">
        <f>2343241-261776</f>
        <v>2081465</v>
      </c>
      <c r="P61" s="99"/>
      <c r="Q61" s="99"/>
      <c r="R61" s="99"/>
    </row>
    <row r="62" spans="1:18" hidden="1" x14ac:dyDescent="0.2">
      <c r="F62" s="94"/>
    </row>
  </sheetData>
  <sheetProtection sheet="1" objects="1" scenarios="1" selectLockedCells="1"/>
  <mergeCells count="9">
    <mergeCell ref="A1:O1"/>
    <mergeCell ref="B45:E45"/>
    <mergeCell ref="A5:E7"/>
    <mergeCell ref="B9:E9"/>
    <mergeCell ref="B23:E23"/>
    <mergeCell ref="F6:F7"/>
    <mergeCell ref="D3:E3"/>
    <mergeCell ref="D2:E2"/>
    <mergeCell ref="G6:O6"/>
  </mergeCells>
  <phoneticPr fontId="0" type="noConversion"/>
  <printOptions horizontalCentered="1"/>
  <pageMargins left="0.25" right="0.25" top="0.75" bottom="0.25" header="0.5" footer="0.5"/>
  <pageSetup scale="63" orientation="portrait" r:id="rId1"/>
  <headerFooter alignWithMargins="0">
    <oddHeader>&amp;REnclosure 2</oddHeader>
    <oddFooter>&amp;LPage 16&amp;Rver 3 (12/2007)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1:S66"/>
  <sheetViews>
    <sheetView topLeftCell="A48" zoomScale="80" zoomScaleNormal="80" workbookViewId="0">
      <selection activeCell="F62" activeCellId="3" sqref="A19:A20 A30:A31 A55:A56 F62"/>
    </sheetView>
  </sheetViews>
  <sheetFormatPr defaultColWidth="0" defaultRowHeight="15" zeroHeight="1" x14ac:dyDescent="0.2"/>
  <cols>
    <col min="1" max="1" width="6.85546875" style="48" customWidth="1"/>
    <col min="2" max="2" width="4.7109375" style="48" customWidth="1"/>
    <col min="3" max="3" width="3.7109375" style="48" customWidth="1"/>
    <col min="4" max="4" width="8.42578125" style="48" customWidth="1"/>
    <col min="5" max="5" width="3.7109375" style="48" customWidth="1"/>
    <col min="6" max="6" width="22.7109375" style="48" customWidth="1"/>
    <col min="7" max="7" width="18.28515625" style="48" customWidth="1"/>
    <col min="8" max="8" width="14.7109375" style="48" customWidth="1"/>
    <col min="9" max="9" width="16.5703125" style="48" customWidth="1"/>
    <col min="10" max="10" width="16.140625" style="48" customWidth="1"/>
    <col min="11" max="11" width="14.28515625" style="48" customWidth="1"/>
    <col min="12" max="12" width="14.85546875" style="48" customWidth="1"/>
    <col min="13" max="14" width="16.7109375" style="48" customWidth="1"/>
    <col min="15" max="15" width="15.42578125" style="48" customWidth="1"/>
    <col min="16" max="16" width="16.5703125" style="77" customWidth="1"/>
    <col min="17" max="18" width="15" style="77" hidden="1" customWidth="1"/>
    <col min="19" max="19" width="12.7109375" style="48" hidden="1" customWidth="1"/>
    <col min="20" max="16384" width="0" style="48" hidden="1"/>
  </cols>
  <sheetData>
    <row r="1" spans="1:19" ht="45.75" customHeight="1" x14ac:dyDescent="0.25">
      <c r="A1" s="231">
        <f>F62</f>
        <v>-1.9999992218799889E-5</v>
      </c>
      <c r="B1" s="173" t="s">
        <v>209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9" ht="21.75" customHeight="1" x14ac:dyDescent="0.25">
      <c r="A2" s="144"/>
      <c r="B2" s="47" t="s">
        <v>28</v>
      </c>
      <c r="C2" s="47"/>
      <c r="D2" s="47"/>
      <c r="E2" s="226" t="s">
        <v>104</v>
      </c>
      <c r="F2" s="226"/>
      <c r="G2" s="145"/>
      <c r="H2" s="74"/>
      <c r="I2" s="74"/>
      <c r="J2" s="74"/>
      <c r="K2" s="74"/>
      <c r="L2" s="74"/>
      <c r="M2" s="74"/>
      <c r="N2" s="74"/>
      <c r="O2" s="49" t="s">
        <v>29</v>
      </c>
      <c r="P2" s="120" t="str">
        <f>Worksheet!$N$2</f>
        <v>10/7/09</v>
      </c>
    </row>
    <row r="3" spans="1:19" s="74" customFormat="1" ht="20.25" customHeight="1" x14ac:dyDescent="0.25">
      <c r="A3" s="144"/>
      <c r="B3" s="47" t="s">
        <v>219</v>
      </c>
      <c r="C3" s="102"/>
      <c r="D3" s="102"/>
      <c r="E3" s="224" t="str">
        <f>Worksheet!D39</f>
        <v>Community Gate</v>
      </c>
      <c r="F3" s="225"/>
      <c r="P3" s="99"/>
      <c r="Q3" s="99"/>
      <c r="R3" s="99"/>
    </row>
    <row r="4" spans="1:19" s="74" customFormat="1" ht="23.25" customHeight="1" x14ac:dyDescent="0.25">
      <c r="A4" s="144"/>
      <c r="P4" s="99"/>
      <c r="Q4" s="99"/>
      <c r="R4" s="99"/>
    </row>
    <row r="5" spans="1:19" s="122" customFormat="1" ht="18.75" customHeight="1" x14ac:dyDescent="0.25">
      <c r="A5" s="144"/>
      <c r="B5" s="174" t="s">
        <v>30</v>
      </c>
      <c r="C5" s="215"/>
      <c r="D5" s="215"/>
      <c r="E5" s="215"/>
      <c r="F5" s="216"/>
      <c r="G5" s="75" t="s">
        <v>19</v>
      </c>
      <c r="H5" s="101" t="s">
        <v>20</v>
      </c>
      <c r="I5" s="101" t="s">
        <v>27</v>
      </c>
      <c r="J5" s="101" t="s">
        <v>21</v>
      </c>
      <c r="K5" s="101" t="s">
        <v>22</v>
      </c>
      <c r="L5" s="101" t="s">
        <v>23</v>
      </c>
      <c r="M5" s="101" t="s">
        <v>24</v>
      </c>
      <c r="N5" s="101" t="s">
        <v>25</v>
      </c>
      <c r="O5" s="101" t="s">
        <v>26</v>
      </c>
      <c r="P5" s="141" t="s">
        <v>63</v>
      </c>
      <c r="Q5" s="121"/>
      <c r="R5" s="121"/>
    </row>
    <row r="6" spans="1:19" s="122" customFormat="1" ht="21" customHeight="1" x14ac:dyDescent="0.25">
      <c r="A6" s="144"/>
      <c r="B6" s="217"/>
      <c r="C6" s="218"/>
      <c r="D6" s="218"/>
      <c r="E6" s="218"/>
      <c r="F6" s="219"/>
      <c r="G6" s="171" t="s">
        <v>6</v>
      </c>
      <c r="H6" s="201" t="s">
        <v>36</v>
      </c>
      <c r="I6" s="202"/>
      <c r="J6" s="202"/>
      <c r="K6" s="202"/>
      <c r="L6" s="202"/>
      <c r="M6" s="202"/>
      <c r="N6" s="202"/>
      <c r="O6" s="202"/>
      <c r="P6" s="203"/>
      <c r="Q6" s="121"/>
      <c r="R6" s="121"/>
    </row>
    <row r="7" spans="1:19" s="124" customFormat="1" ht="42" customHeight="1" x14ac:dyDescent="0.25">
      <c r="A7" s="144"/>
      <c r="B7" s="220"/>
      <c r="C7" s="221"/>
      <c r="D7" s="221"/>
      <c r="E7" s="221"/>
      <c r="F7" s="222"/>
      <c r="G7" s="223"/>
      <c r="H7" s="97" t="s">
        <v>0</v>
      </c>
      <c r="I7" s="97" t="s">
        <v>35</v>
      </c>
      <c r="J7" s="97" t="s">
        <v>18</v>
      </c>
      <c r="K7" s="97" t="s">
        <v>1</v>
      </c>
      <c r="L7" s="97" t="s">
        <v>15</v>
      </c>
      <c r="M7" s="97" t="s">
        <v>16</v>
      </c>
      <c r="N7" s="97" t="s">
        <v>2</v>
      </c>
      <c r="O7" s="97" t="s">
        <v>17</v>
      </c>
      <c r="P7" s="140" t="s">
        <v>62</v>
      </c>
      <c r="Q7" s="79"/>
      <c r="R7" s="79"/>
      <c r="S7" s="123"/>
    </row>
    <row r="8" spans="1:19" ht="25.5" customHeight="1" x14ac:dyDescent="0.25">
      <c r="A8" s="125"/>
      <c r="B8" s="86" t="str">
        <f>B3</f>
        <v>Work Plan 1</v>
      </c>
      <c r="C8" s="87"/>
      <c r="D8" s="87"/>
      <c r="E8" s="87"/>
      <c r="F8" s="88"/>
      <c r="G8" s="80"/>
      <c r="H8" s="80"/>
      <c r="I8" s="80"/>
      <c r="J8" s="80"/>
      <c r="K8" s="80"/>
      <c r="L8" s="80"/>
      <c r="M8" s="80"/>
      <c r="N8" s="80"/>
      <c r="O8" s="80"/>
      <c r="P8" s="126"/>
    </row>
    <row r="9" spans="1:19" ht="12" customHeight="1" x14ac:dyDescent="0.2">
      <c r="A9" s="127"/>
      <c r="B9" s="60"/>
      <c r="C9" s="211" t="s">
        <v>85</v>
      </c>
      <c r="D9" s="211"/>
      <c r="E9" s="211"/>
      <c r="F9" s="212"/>
      <c r="G9" s="54"/>
      <c r="H9" s="54"/>
      <c r="I9" s="54"/>
      <c r="J9" s="54"/>
      <c r="K9" s="54"/>
      <c r="L9" s="54"/>
      <c r="M9" s="54"/>
      <c r="N9" s="54"/>
      <c r="O9" s="54"/>
      <c r="P9" s="128"/>
    </row>
    <row r="10" spans="1:19" ht="12" customHeight="1" x14ac:dyDescent="0.2">
      <c r="A10" s="129"/>
      <c r="B10" s="60"/>
      <c r="C10" s="52"/>
      <c r="D10" s="52" t="s">
        <v>3</v>
      </c>
      <c r="E10" s="52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128"/>
    </row>
    <row r="11" spans="1:19" ht="12" customHeight="1" x14ac:dyDescent="0.2">
      <c r="A11" s="129"/>
      <c r="B11" s="60"/>
      <c r="C11" s="52"/>
      <c r="D11" s="52"/>
      <c r="E11" s="52" t="s">
        <v>10</v>
      </c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128"/>
    </row>
    <row r="12" spans="1:19" ht="12" customHeight="1" x14ac:dyDescent="0.2">
      <c r="A12" s="129"/>
      <c r="B12" s="60"/>
      <c r="C12" s="52"/>
      <c r="D12" s="52"/>
      <c r="E12" s="52" t="s">
        <v>11</v>
      </c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128"/>
    </row>
    <row r="13" spans="1:19" ht="12" customHeight="1" x14ac:dyDescent="0.2">
      <c r="A13" s="130" t="s">
        <v>138</v>
      </c>
      <c r="B13" s="60"/>
      <c r="C13" s="52"/>
      <c r="D13" s="52"/>
      <c r="E13" s="52" t="s">
        <v>37</v>
      </c>
      <c r="F13" s="53"/>
      <c r="G13" s="131">
        <f>SUMIF(Worksheet!$B$49:$B$67,$A13,Worksheet!I$49:I$67)</f>
        <v>0</v>
      </c>
      <c r="H13" s="132">
        <f>G13-SUM(I13:P13)</f>
        <v>0</v>
      </c>
      <c r="I13" s="131">
        <f>SUMIF(Worksheet!$B$49:$B$67,$A13,Worksheet!M$49:M$67)</f>
        <v>0</v>
      </c>
      <c r="J13" s="54"/>
      <c r="K13" s="131">
        <f>SUMIF(Worksheet!$B$49:$B$67,$A13,Worksheet!N$49:N$67)</f>
        <v>0</v>
      </c>
      <c r="L13" s="54"/>
      <c r="M13" s="131"/>
      <c r="N13" s="131">
        <f>SUMIF(Worksheet!$B$49:$B$67,$A13,Worksheet!O$49:O$67)</f>
        <v>0</v>
      </c>
      <c r="O13" s="131">
        <f>SUMIF(Worksheet!$B$49:$B$67,$A13,Worksheet!P$49:P$67)</f>
        <v>0</v>
      </c>
      <c r="P13" s="133">
        <f>SUMIF(Worksheet!$B$49:$B$67,$A13,Worksheet!Q$49:Q$67)</f>
        <v>0</v>
      </c>
    </row>
    <row r="14" spans="1:19" ht="12" customHeight="1" x14ac:dyDescent="0.2">
      <c r="A14" s="130" t="s">
        <v>142</v>
      </c>
      <c r="B14" s="60"/>
      <c r="C14" s="52"/>
      <c r="D14" s="52"/>
      <c r="E14" s="52" t="s">
        <v>4</v>
      </c>
      <c r="F14" s="53"/>
      <c r="G14" s="131">
        <f>SUMIF(Worksheet!$B$49:$B$67,$A14,Worksheet!I$49:I$67)</f>
        <v>0</v>
      </c>
      <c r="H14" s="132">
        <f>G14-SUM(I14:P14)</f>
        <v>0</v>
      </c>
      <c r="I14" s="131">
        <f>SUMIF(Worksheet!$B$49:$B$67,$A14,Worksheet!M$49:M$67)</f>
        <v>0</v>
      </c>
      <c r="J14" s="54"/>
      <c r="K14" s="131">
        <f>SUMIF(Worksheet!$B$49:$B$67,$A14,Worksheet!N$49:N$67)</f>
        <v>0</v>
      </c>
      <c r="L14" s="54"/>
      <c r="M14" s="131"/>
      <c r="N14" s="131">
        <f>SUMIF(Worksheet!$B$49:$B$67,$A14,Worksheet!O$49:O$67)</f>
        <v>0</v>
      </c>
      <c r="O14" s="131">
        <f>SUMIF(Worksheet!$B$49:$B$67,$A14,Worksheet!P$49:P$67)</f>
        <v>0</v>
      </c>
      <c r="P14" s="133">
        <f>SUMIF(Worksheet!$B$49:$B$67,$A14,Worksheet!Q$49:Q$67)</f>
        <v>0</v>
      </c>
    </row>
    <row r="15" spans="1:19" ht="12" customHeight="1" x14ac:dyDescent="0.2">
      <c r="A15" s="134"/>
      <c r="B15" s="60"/>
      <c r="C15" s="52"/>
      <c r="D15" s="52" t="s">
        <v>7</v>
      </c>
      <c r="E15" s="52"/>
      <c r="F15" s="53"/>
      <c r="G15" s="54">
        <f t="shared" ref="G15:P15" si="0">SUM(G11:G14)</f>
        <v>0</v>
      </c>
      <c r="H15" s="54">
        <f t="shared" si="0"/>
        <v>0</v>
      </c>
      <c r="I15" s="54">
        <f t="shared" si="0"/>
        <v>0</v>
      </c>
      <c r="J15" s="54">
        <f t="shared" si="0"/>
        <v>0</v>
      </c>
      <c r="K15" s="54">
        <f t="shared" si="0"/>
        <v>0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128">
        <f t="shared" si="0"/>
        <v>0</v>
      </c>
    </row>
    <row r="16" spans="1:19" ht="12" customHeight="1" x14ac:dyDescent="0.2">
      <c r="A16" s="129"/>
      <c r="B16" s="60"/>
      <c r="C16" s="52"/>
      <c r="D16" s="52" t="s">
        <v>5</v>
      </c>
      <c r="E16" s="52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128"/>
    </row>
    <row r="17" spans="1:16" ht="12" customHeight="1" x14ac:dyDescent="0.2">
      <c r="A17" s="129"/>
      <c r="B17" s="60"/>
      <c r="C17" s="52"/>
      <c r="D17" s="52"/>
      <c r="E17" s="52" t="s">
        <v>10</v>
      </c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128"/>
    </row>
    <row r="18" spans="1:16" ht="12" customHeight="1" x14ac:dyDescent="0.2">
      <c r="A18" s="129"/>
      <c r="B18" s="60"/>
      <c r="C18" s="52"/>
      <c r="D18" s="52"/>
      <c r="E18" s="52" t="s">
        <v>11</v>
      </c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128"/>
    </row>
    <row r="19" spans="1:16" ht="12" customHeight="1" x14ac:dyDescent="0.2">
      <c r="A19" s="129" t="s">
        <v>143</v>
      </c>
      <c r="B19" s="60"/>
      <c r="C19" s="52"/>
      <c r="D19" s="52"/>
      <c r="E19" s="52" t="s">
        <v>37</v>
      </c>
      <c r="F19" s="53"/>
      <c r="G19" s="131">
        <f>SUMIF(Worksheet!$B$49:$B$67,$A19,Worksheet!I$49:I$67)</f>
        <v>0</v>
      </c>
      <c r="H19" s="132">
        <f>G19-SUM(I19:P19)</f>
        <v>0</v>
      </c>
      <c r="I19" s="131">
        <f>SUMIF(Worksheet!$B$49:$B$67,$A19,Worksheet!M$49:M$67)</f>
        <v>0</v>
      </c>
      <c r="J19" s="54"/>
      <c r="K19" s="131">
        <f>SUMIF(Worksheet!$B$49:$B$67,$A19,Worksheet!N$49:N$67)</f>
        <v>0</v>
      </c>
      <c r="L19" s="54"/>
      <c r="M19" s="131"/>
      <c r="N19" s="131">
        <f>SUMIF(Worksheet!$B$49:$B$67,$A19,Worksheet!O$49:O$67)</f>
        <v>0</v>
      </c>
      <c r="O19" s="131">
        <f>SUMIF(Worksheet!$B$49:$B$67,$A19,Worksheet!P$49:P$67)</f>
        <v>0</v>
      </c>
      <c r="P19" s="133">
        <f>SUMIF(Worksheet!$B$49:$B$67,$A19,Worksheet!Q$49:Q$67)</f>
        <v>0</v>
      </c>
    </row>
    <row r="20" spans="1:16" ht="12" customHeight="1" x14ac:dyDescent="0.2">
      <c r="A20" s="129" t="s">
        <v>144</v>
      </c>
      <c r="B20" s="60"/>
      <c r="C20" s="52"/>
      <c r="D20" s="52"/>
      <c r="E20" s="52" t="s">
        <v>4</v>
      </c>
      <c r="F20" s="53"/>
      <c r="G20" s="131">
        <f>SUMIF(Worksheet!$B$49:$B$67,$A20,Worksheet!I$49:I$67)</f>
        <v>0</v>
      </c>
      <c r="H20" s="132">
        <f>G20-SUM(I20:P20)</f>
        <v>0</v>
      </c>
      <c r="I20" s="131">
        <f>SUMIF(Worksheet!$B$49:$B$67,$A20,Worksheet!M$49:M$67)</f>
        <v>0</v>
      </c>
      <c r="J20" s="54"/>
      <c r="K20" s="131">
        <f>SUMIF(Worksheet!$B$49:$B$67,$A20,Worksheet!N$49:N$67)</f>
        <v>0</v>
      </c>
      <c r="L20" s="54"/>
      <c r="M20" s="131"/>
      <c r="N20" s="131">
        <f>SUMIF(Worksheet!$B$49:$B$67,$A20,Worksheet!O$49:O$67)</f>
        <v>0</v>
      </c>
      <c r="O20" s="131">
        <f>SUMIF(Worksheet!$B$49:$B$67,$A20,Worksheet!P$49:P$67)</f>
        <v>0</v>
      </c>
      <c r="P20" s="133">
        <f>SUMIF(Worksheet!$B$49:$B$67,$A20,Worksheet!Q$49:Q$67)</f>
        <v>0</v>
      </c>
    </row>
    <row r="21" spans="1:16" ht="12" customHeight="1" x14ac:dyDescent="0.2">
      <c r="A21" s="134"/>
      <c r="B21" s="60"/>
      <c r="C21" s="52"/>
      <c r="D21" s="52" t="s">
        <v>8</v>
      </c>
      <c r="E21" s="52"/>
      <c r="F21" s="53"/>
      <c r="G21" s="54">
        <f t="shared" ref="G21:P21" si="1">SUM(G17:G20)</f>
        <v>0</v>
      </c>
      <c r="H21" s="54">
        <f t="shared" si="1"/>
        <v>0</v>
      </c>
      <c r="I21" s="54">
        <f t="shared" si="1"/>
        <v>0</v>
      </c>
      <c r="J21" s="54">
        <f t="shared" si="1"/>
        <v>0</v>
      </c>
      <c r="K21" s="54">
        <f t="shared" si="1"/>
        <v>0</v>
      </c>
      <c r="L21" s="54">
        <f t="shared" si="1"/>
        <v>0</v>
      </c>
      <c r="M21" s="54">
        <f t="shared" si="1"/>
        <v>0</v>
      </c>
      <c r="N21" s="54">
        <f t="shared" si="1"/>
        <v>0</v>
      </c>
      <c r="O21" s="54">
        <f t="shared" si="1"/>
        <v>0</v>
      </c>
      <c r="P21" s="128">
        <f t="shared" si="1"/>
        <v>0</v>
      </c>
    </row>
    <row r="22" spans="1:16" ht="12" customHeight="1" x14ac:dyDescent="0.2">
      <c r="A22" s="135"/>
      <c r="B22" s="55"/>
      <c r="C22" s="56" t="s">
        <v>9</v>
      </c>
      <c r="D22" s="56"/>
      <c r="E22" s="56"/>
      <c r="F22" s="57"/>
      <c r="G22" s="58">
        <f t="shared" ref="G22:P22" si="2">G15+G21</f>
        <v>0</v>
      </c>
      <c r="H22" s="58">
        <f t="shared" si="2"/>
        <v>0</v>
      </c>
      <c r="I22" s="58">
        <f t="shared" si="2"/>
        <v>0</v>
      </c>
      <c r="J22" s="58">
        <f t="shared" si="2"/>
        <v>0</v>
      </c>
      <c r="K22" s="58">
        <f t="shared" si="2"/>
        <v>0</v>
      </c>
      <c r="L22" s="58">
        <f t="shared" si="2"/>
        <v>0</v>
      </c>
      <c r="M22" s="58">
        <f t="shared" si="2"/>
        <v>0</v>
      </c>
      <c r="N22" s="58">
        <f t="shared" si="2"/>
        <v>0</v>
      </c>
      <c r="O22" s="58">
        <f t="shared" si="2"/>
        <v>0</v>
      </c>
      <c r="P22" s="136">
        <f t="shared" si="2"/>
        <v>0</v>
      </c>
    </row>
    <row r="23" spans="1:16" ht="12" customHeight="1" x14ac:dyDescent="0.2">
      <c r="A23" s="127"/>
      <c r="B23" s="60"/>
      <c r="C23" s="213" t="s">
        <v>79</v>
      </c>
      <c r="D23" s="213"/>
      <c r="E23" s="213"/>
      <c r="F23" s="214"/>
      <c r="G23" s="54"/>
      <c r="H23" s="54"/>
      <c r="I23" s="54"/>
      <c r="J23" s="54"/>
      <c r="K23" s="54"/>
      <c r="L23" s="54"/>
      <c r="M23" s="54"/>
      <c r="N23" s="54"/>
      <c r="O23" s="54"/>
      <c r="P23" s="128"/>
    </row>
    <row r="24" spans="1:16" ht="12" customHeight="1" x14ac:dyDescent="0.2">
      <c r="A24" s="129"/>
      <c r="B24" s="60"/>
      <c r="C24" s="52"/>
      <c r="D24" s="52" t="s">
        <v>31</v>
      </c>
      <c r="E24" s="52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128"/>
    </row>
    <row r="25" spans="1:16" ht="12" customHeight="1" x14ac:dyDescent="0.2">
      <c r="A25" s="129"/>
      <c r="B25" s="60"/>
      <c r="C25" s="52"/>
      <c r="D25" s="52"/>
      <c r="E25" s="52" t="s">
        <v>3</v>
      </c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128"/>
    </row>
    <row r="26" spans="1:16" ht="12" customHeight="1" x14ac:dyDescent="0.2">
      <c r="A26" s="130" t="s">
        <v>145</v>
      </c>
      <c r="B26" s="60"/>
      <c r="C26" s="52"/>
      <c r="D26" s="52"/>
      <c r="E26" s="52"/>
      <c r="F26" s="53" t="s">
        <v>37</v>
      </c>
      <c r="G26" s="131">
        <f>SUMIF(Worksheet!$B$49:$B$67,$A26,Worksheet!I$49:I$67)</f>
        <v>82707.95</v>
      </c>
      <c r="H26" s="132">
        <f>G26-SUM(I26:P26)</f>
        <v>18331.200007394451</v>
      </c>
      <c r="I26" s="131">
        <f>SUMIF(Worksheet!$B$49:$B$67,$A26,Worksheet!M$49:M$67)</f>
        <v>30494.04999649739</v>
      </c>
      <c r="J26" s="54"/>
      <c r="K26" s="131">
        <f>SUMIF(Worksheet!$B$49:$B$67,$A26,Worksheet!N$49:N$67)</f>
        <v>33882.69999610816</v>
      </c>
      <c r="L26" s="54"/>
      <c r="M26" s="131"/>
      <c r="N26" s="131">
        <f>SUMIF(Worksheet!$B$49:$B$67,$A26,Worksheet!O$49:O$67)</f>
        <v>0</v>
      </c>
      <c r="O26" s="131">
        <f>SUMIF(Worksheet!$B$49:$B$67,$A26,Worksheet!P$49:P$67)</f>
        <v>0</v>
      </c>
      <c r="P26" s="133">
        <f>SUMIF(Worksheet!$B$49:$B$67,$A26,Worksheet!Q$49:Q$67)</f>
        <v>0</v>
      </c>
    </row>
    <row r="27" spans="1:16" ht="12" customHeight="1" x14ac:dyDescent="0.2">
      <c r="A27" s="130" t="s">
        <v>146</v>
      </c>
      <c r="B27" s="60"/>
      <c r="C27" s="52"/>
      <c r="D27" s="52"/>
      <c r="E27" s="52"/>
      <c r="F27" s="53" t="s">
        <v>4</v>
      </c>
      <c r="G27" s="131">
        <f>SUMIF(Worksheet!$B$49:$B$67,$A27,Worksheet!I$49:I$67)</f>
        <v>0</v>
      </c>
      <c r="H27" s="132">
        <f>G27-SUM(I27:P27)</f>
        <v>0</v>
      </c>
      <c r="I27" s="131">
        <f>SUMIF(Worksheet!$B$49:$B$67,$A27,Worksheet!M$49:M$67)</f>
        <v>0</v>
      </c>
      <c r="J27" s="54"/>
      <c r="K27" s="131">
        <f>SUMIF(Worksheet!$B$49:$B$67,$A27,Worksheet!N$49:N$67)</f>
        <v>0</v>
      </c>
      <c r="L27" s="54"/>
      <c r="M27" s="131"/>
      <c r="N27" s="131">
        <f>SUMIF(Worksheet!$B$49:$B$67,$A27,Worksheet!O$49:O$67)</f>
        <v>0</v>
      </c>
      <c r="O27" s="131">
        <f>SUMIF(Worksheet!$B$49:$B$67,$A27,Worksheet!P$49:P$67)</f>
        <v>0</v>
      </c>
      <c r="P27" s="133">
        <f>SUMIF(Worksheet!$B$49:$B$67,$A27,Worksheet!Q$49:Q$67)</f>
        <v>0</v>
      </c>
    </row>
    <row r="28" spans="1:16" ht="12" customHeight="1" x14ac:dyDescent="0.2">
      <c r="A28" s="134"/>
      <c r="B28" s="60"/>
      <c r="C28" s="52"/>
      <c r="D28" s="52"/>
      <c r="E28" s="52" t="s">
        <v>7</v>
      </c>
      <c r="F28" s="53"/>
      <c r="G28" s="54">
        <f t="shared" ref="G28:P28" si="3">SUM(G26:G27)</f>
        <v>82707.95</v>
      </c>
      <c r="H28" s="54">
        <f t="shared" si="3"/>
        <v>18331.200007394451</v>
      </c>
      <c r="I28" s="54">
        <f t="shared" si="3"/>
        <v>30494.04999649739</v>
      </c>
      <c r="J28" s="54">
        <f t="shared" si="3"/>
        <v>0</v>
      </c>
      <c r="K28" s="54">
        <f t="shared" si="3"/>
        <v>33882.69999610816</v>
      </c>
      <c r="L28" s="54">
        <f t="shared" si="3"/>
        <v>0</v>
      </c>
      <c r="M28" s="54">
        <f t="shared" si="3"/>
        <v>0</v>
      </c>
      <c r="N28" s="54">
        <f t="shared" si="3"/>
        <v>0</v>
      </c>
      <c r="O28" s="54">
        <f t="shared" si="3"/>
        <v>0</v>
      </c>
      <c r="P28" s="128">
        <f t="shared" si="3"/>
        <v>0</v>
      </c>
    </row>
    <row r="29" spans="1:16" ht="12" customHeight="1" x14ac:dyDescent="0.2">
      <c r="A29" s="129"/>
      <c r="B29" s="60"/>
      <c r="C29" s="52"/>
      <c r="D29" s="52"/>
      <c r="E29" s="52" t="s">
        <v>5</v>
      </c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128"/>
    </row>
    <row r="30" spans="1:16" ht="12" customHeight="1" x14ac:dyDescent="0.2">
      <c r="A30" s="129" t="s">
        <v>147</v>
      </c>
      <c r="B30" s="60"/>
      <c r="C30" s="52"/>
      <c r="D30" s="52"/>
      <c r="E30" s="52"/>
      <c r="F30" s="53" t="s">
        <v>37</v>
      </c>
      <c r="G30" s="131">
        <f>SUMIF(Worksheet!$B$49:$B$67,$A30,Worksheet!I$49:I$67)</f>
        <v>0</v>
      </c>
      <c r="H30" s="132">
        <f>G30-SUM(I30:P30)</f>
        <v>0</v>
      </c>
      <c r="I30" s="131">
        <f>SUMIF(Worksheet!$B$49:$B$67,$A30,Worksheet!M$49:M$67)</f>
        <v>0</v>
      </c>
      <c r="J30" s="54"/>
      <c r="K30" s="131">
        <f>SUMIF(Worksheet!$B$49:$B$67,$A30,Worksheet!N$49:N$67)</f>
        <v>0</v>
      </c>
      <c r="L30" s="54"/>
      <c r="M30" s="131"/>
      <c r="N30" s="131">
        <f>SUMIF(Worksheet!$B$49:$B$67,$A30,Worksheet!O$49:O$67)</f>
        <v>0</v>
      </c>
      <c r="O30" s="131">
        <f>SUMIF(Worksheet!$B$49:$B$67,$A30,Worksheet!P$49:P$67)</f>
        <v>0</v>
      </c>
      <c r="P30" s="133">
        <f>SUMIF(Worksheet!$B$49:$B$67,$A30,Worksheet!Q$49:Q$67)</f>
        <v>0</v>
      </c>
    </row>
    <row r="31" spans="1:16" ht="12" customHeight="1" x14ac:dyDescent="0.2">
      <c r="A31" s="129" t="s">
        <v>148</v>
      </c>
      <c r="B31" s="60"/>
      <c r="C31" s="52"/>
      <c r="D31" s="52"/>
      <c r="E31" s="52"/>
      <c r="F31" s="53" t="s">
        <v>4</v>
      </c>
      <c r="G31" s="131">
        <f>SUMIF(Worksheet!$B$49:$B$67,$A31,Worksheet!I$49:I$67)</f>
        <v>119585.04999999999</v>
      </c>
      <c r="H31" s="132">
        <f>G31-SUM(I31:P31)</f>
        <v>90145.500002338711</v>
      </c>
      <c r="I31" s="131">
        <f>SUMIF(Worksheet!$B$49:$B$67,$A31,Worksheet!M$49:M$67)</f>
        <v>8796.049999301229</v>
      </c>
      <c r="J31" s="54"/>
      <c r="K31" s="131">
        <f>SUMIF(Worksheet!$B$49:$B$67,$A31,Worksheet!N$49:N$67)</f>
        <v>20643.49999836005</v>
      </c>
      <c r="L31" s="54"/>
      <c r="M31" s="131"/>
      <c r="N31" s="131">
        <f>SUMIF(Worksheet!$B$49:$B$67,$A31,Worksheet!O$49:O$67)</f>
        <v>0</v>
      </c>
      <c r="O31" s="131">
        <f>SUMIF(Worksheet!$B$49:$B$67,$A31,Worksheet!P$49:P$67)</f>
        <v>0</v>
      </c>
      <c r="P31" s="133">
        <f>SUMIF(Worksheet!$B$49:$B$67,$A31,Worksheet!Q$49:Q$67)</f>
        <v>0</v>
      </c>
    </row>
    <row r="32" spans="1:16" ht="12" customHeight="1" x14ac:dyDescent="0.2">
      <c r="A32" s="134"/>
      <c r="B32" s="60"/>
      <c r="C32" s="52"/>
      <c r="D32" s="52"/>
      <c r="E32" s="52" t="s">
        <v>8</v>
      </c>
      <c r="F32" s="53"/>
      <c r="G32" s="54">
        <f t="shared" ref="G32:P32" si="4">SUM(G30:G31)</f>
        <v>119585.04999999999</v>
      </c>
      <c r="H32" s="54">
        <f t="shared" si="4"/>
        <v>90145.500002338711</v>
      </c>
      <c r="I32" s="54">
        <f t="shared" si="4"/>
        <v>8796.049999301229</v>
      </c>
      <c r="J32" s="54">
        <f t="shared" si="4"/>
        <v>0</v>
      </c>
      <c r="K32" s="54">
        <f t="shared" si="4"/>
        <v>20643.49999836005</v>
      </c>
      <c r="L32" s="54">
        <f t="shared" si="4"/>
        <v>0</v>
      </c>
      <c r="M32" s="54">
        <f t="shared" si="4"/>
        <v>0</v>
      </c>
      <c r="N32" s="54">
        <f t="shared" si="4"/>
        <v>0</v>
      </c>
      <c r="O32" s="54">
        <f t="shared" si="4"/>
        <v>0</v>
      </c>
      <c r="P32" s="128">
        <f t="shared" si="4"/>
        <v>0</v>
      </c>
    </row>
    <row r="33" spans="1:16" ht="12" customHeight="1" x14ac:dyDescent="0.2">
      <c r="A33" s="134"/>
      <c r="B33" s="60"/>
      <c r="C33" s="52"/>
      <c r="D33" s="52" t="s">
        <v>32</v>
      </c>
      <c r="E33" s="52"/>
      <c r="F33" s="53"/>
      <c r="G33" s="54">
        <f t="shared" ref="G33:P33" si="5">G28+G32</f>
        <v>202293</v>
      </c>
      <c r="H33" s="54">
        <f t="shared" si="5"/>
        <v>108476.70000973316</v>
      </c>
      <c r="I33" s="54">
        <f t="shared" si="5"/>
        <v>39290.099995798621</v>
      </c>
      <c r="J33" s="54">
        <f t="shared" si="5"/>
        <v>0</v>
      </c>
      <c r="K33" s="54">
        <f t="shared" si="5"/>
        <v>54526.19999446821</v>
      </c>
      <c r="L33" s="54">
        <f t="shared" si="5"/>
        <v>0</v>
      </c>
      <c r="M33" s="54">
        <f t="shared" si="5"/>
        <v>0</v>
      </c>
      <c r="N33" s="54">
        <f t="shared" si="5"/>
        <v>0</v>
      </c>
      <c r="O33" s="54">
        <f t="shared" si="5"/>
        <v>0</v>
      </c>
      <c r="P33" s="128">
        <f t="shared" si="5"/>
        <v>0</v>
      </c>
    </row>
    <row r="34" spans="1:16" ht="12" customHeight="1" x14ac:dyDescent="0.2">
      <c r="A34" s="129"/>
      <c r="B34" s="60"/>
      <c r="C34" s="52"/>
      <c r="D34" s="52" t="s">
        <v>33</v>
      </c>
      <c r="E34" s="52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128"/>
    </row>
    <row r="35" spans="1:16" ht="12" customHeight="1" x14ac:dyDescent="0.2">
      <c r="A35" s="129"/>
      <c r="B35" s="60"/>
      <c r="C35" s="52"/>
      <c r="D35" s="52"/>
      <c r="E35" s="52" t="s">
        <v>3</v>
      </c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128"/>
    </row>
    <row r="36" spans="1:16" ht="12" customHeight="1" x14ac:dyDescent="0.2">
      <c r="A36" s="129"/>
      <c r="B36" s="60"/>
      <c r="C36" s="52"/>
      <c r="D36" s="52"/>
      <c r="E36" s="52"/>
      <c r="F36" s="53" t="s">
        <v>37</v>
      </c>
      <c r="G36" s="54"/>
      <c r="H36" s="54"/>
      <c r="I36" s="54"/>
      <c r="J36" s="54"/>
      <c r="K36" s="54"/>
      <c r="L36" s="54"/>
      <c r="M36" s="54"/>
      <c r="N36" s="54"/>
      <c r="O36" s="54"/>
      <c r="P36" s="128"/>
    </row>
    <row r="37" spans="1:16" ht="12" customHeight="1" x14ac:dyDescent="0.2">
      <c r="A37" s="129"/>
      <c r="B37" s="60"/>
      <c r="C37" s="52"/>
      <c r="D37" s="52"/>
      <c r="E37" s="52"/>
      <c r="F37" s="53" t="s">
        <v>4</v>
      </c>
      <c r="G37" s="54"/>
      <c r="H37" s="54"/>
      <c r="I37" s="54"/>
      <c r="J37" s="54"/>
      <c r="K37" s="54"/>
      <c r="L37" s="54"/>
      <c r="M37" s="54"/>
      <c r="N37" s="54"/>
      <c r="O37" s="54"/>
      <c r="P37" s="128"/>
    </row>
    <row r="38" spans="1:16" ht="12" customHeight="1" x14ac:dyDescent="0.2">
      <c r="A38" s="134"/>
      <c r="B38" s="60"/>
      <c r="C38" s="52"/>
      <c r="D38" s="52"/>
      <c r="E38" s="52" t="s">
        <v>7</v>
      </c>
      <c r="F38" s="53"/>
      <c r="G38" s="54">
        <f t="shared" ref="G38:P38" si="6">SUM(G36:G37)</f>
        <v>0</v>
      </c>
      <c r="H38" s="54">
        <f t="shared" si="6"/>
        <v>0</v>
      </c>
      <c r="I38" s="54">
        <f t="shared" si="6"/>
        <v>0</v>
      </c>
      <c r="J38" s="54">
        <f t="shared" si="6"/>
        <v>0</v>
      </c>
      <c r="K38" s="54">
        <f t="shared" si="6"/>
        <v>0</v>
      </c>
      <c r="L38" s="54">
        <f t="shared" si="6"/>
        <v>0</v>
      </c>
      <c r="M38" s="54">
        <f t="shared" si="6"/>
        <v>0</v>
      </c>
      <c r="N38" s="54">
        <f t="shared" si="6"/>
        <v>0</v>
      </c>
      <c r="O38" s="54">
        <f t="shared" si="6"/>
        <v>0</v>
      </c>
      <c r="P38" s="128">
        <f t="shared" si="6"/>
        <v>0</v>
      </c>
    </row>
    <row r="39" spans="1:16" ht="12" customHeight="1" x14ac:dyDescent="0.2">
      <c r="A39" s="129"/>
      <c r="B39" s="60"/>
      <c r="C39" s="52"/>
      <c r="D39" s="52"/>
      <c r="E39" s="52" t="s">
        <v>5</v>
      </c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128"/>
    </row>
    <row r="40" spans="1:16" ht="12" customHeight="1" x14ac:dyDescent="0.2">
      <c r="A40" s="129"/>
      <c r="B40" s="60"/>
      <c r="C40" s="52"/>
      <c r="D40" s="52"/>
      <c r="E40" s="52"/>
      <c r="F40" s="53" t="s">
        <v>37</v>
      </c>
      <c r="G40" s="54"/>
      <c r="H40" s="54"/>
      <c r="I40" s="54"/>
      <c r="J40" s="54"/>
      <c r="K40" s="54"/>
      <c r="L40" s="54"/>
      <c r="M40" s="54"/>
      <c r="N40" s="54"/>
      <c r="O40" s="54"/>
      <c r="P40" s="128"/>
    </row>
    <row r="41" spans="1:16" ht="12" customHeight="1" x14ac:dyDescent="0.2">
      <c r="A41" s="129"/>
      <c r="B41" s="60"/>
      <c r="C41" s="52"/>
      <c r="D41" s="52"/>
      <c r="E41" s="52"/>
      <c r="F41" s="53" t="s">
        <v>4</v>
      </c>
      <c r="G41" s="54"/>
      <c r="H41" s="54"/>
      <c r="I41" s="54"/>
      <c r="J41" s="54"/>
      <c r="K41" s="54"/>
      <c r="L41" s="54"/>
      <c r="M41" s="54"/>
      <c r="N41" s="54"/>
      <c r="O41" s="54"/>
      <c r="P41" s="128"/>
    </row>
    <row r="42" spans="1:16" ht="12" customHeight="1" x14ac:dyDescent="0.2">
      <c r="A42" s="134"/>
      <c r="B42" s="60"/>
      <c r="C42" s="52"/>
      <c r="D42" s="52"/>
      <c r="E42" s="52" t="s">
        <v>8</v>
      </c>
      <c r="F42" s="53"/>
      <c r="G42" s="54">
        <f t="shared" ref="G42:P42" si="7">SUM(G40:G41)</f>
        <v>0</v>
      </c>
      <c r="H42" s="54">
        <f t="shared" si="7"/>
        <v>0</v>
      </c>
      <c r="I42" s="54">
        <f t="shared" si="7"/>
        <v>0</v>
      </c>
      <c r="J42" s="54">
        <f t="shared" si="7"/>
        <v>0</v>
      </c>
      <c r="K42" s="54">
        <f t="shared" si="7"/>
        <v>0</v>
      </c>
      <c r="L42" s="54">
        <f t="shared" si="7"/>
        <v>0</v>
      </c>
      <c r="M42" s="54">
        <f t="shared" si="7"/>
        <v>0</v>
      </c>
      <c r="N42" s="54">
        <f t="shared" si="7"/>
        <v>0</v>
      </c>
      <c r="O42" s="54">
        <f t="shared" si="7"/>
        <v>0</v>
      </c>
      <c r="P42" s="128">
        <f t="shared" si="7"/>
        <v>0</v>
      </c>
    </row>
    <row r="43" spans="1:16" ht="12" customHeight="1" x14ac:dyDescent="0.2">
      <c r="A43" s="134"/>
      <c r="B43" s="60"/>
      <c r="C43" s="52"/>
      <c r="D43" s="52" t="s">
        <v>34</v>
      </c>
      <c r="E43" s="52"/>
      <c r="F43" s="53"/>
      <c r="G43" s="54">
        <f t="shared" ref="G43:P43" si="8">G38+G42</f>
        <v>0</v>
      </c>
      <c r="H43" s="54">
        <f t="shared" si="8"/>
        <v>0</v>
      </c>
      <c r="I43" s="54">
        <f t="shared" si="8"/>
        <v>0</v>
      </c>
      <c r="J43" s="54">
        <f t="shared" si="8"/>
        <v>0</v>
      </c>
      <c r="K43" s="54">
        <f t="shared" si="8"/>
        <v>0</v>
      </c>
      <c r="L43" s="54">
        <f t="shared" si="8"/>
        <v>0</v>
      </c>
      <c r="M43" s="54">
        <f t="shared" si="8"/>
        <v>0</v>
      </c>
      <c r="N43" s="54">
        <f t="shared" si="8"/>
        <v>0</v>
      </c>
      <c r="O43" s="54">
        <f t="shared" si="8"/>
        <v>0</v>
      </c>
      <c r="P43" s="128">
        <f t="shared" si="8"/>
        <v>0</v>
      </c>
    </row>
    <row r="44" spans="1:16" ht="12" customHeight="1" x14ac:dyDescent="0.2">
      <c r="A44" s="135"/>
      <c r="B44" s="55"/>
      <c r="C44" s="56" t="s">
        <v>80</v>
      </c>
      <c r="D44" s="56"/>
      <c r="E44" s="56"/>
      <c r="F44" s="57"/>
      <c r="G44" s="58">
        <f t="shared" ref="G44:P44" si="9">G33+G43</f>
        <v>202293</v>
      </c>
      <c r="H44" s="58">
        <f t="shared" si="9"/>
        <v>108476.70000973316</v>
      </c>
      <c r="I44" s="58">
        <f t="shared" si="9"/>
        <v>39290.099995798621</v>
      </c>
      <c r="J44" s="58">
        <f t="shared" si="9"/>
        <v>0</v>
      </c>
      <c r="K44" s="58">
        <f t="shared" si="9"/>
        <v>54526.19999446821</v>
      </c>
      <c r="L44" s="58">
        <f t="shared" si="9"/>
        <v>0</v>
      </c>
      <c r="M44" s="58">
        <f t="shared" si="9"/>
        <v>0</v>
      </c>
      <c r="N44" s="58">
        <f t="shared" si="9"/>
        <v>0</v>
      </c>
      <c r="O44" s="58">
        <f t="shared" si="9"/>
        <v>0</v>
      </c>
      <c r="P44" s="136">
        <f t="shared" si="9"/>
        <v>0</v>
      </c>
    </row>
    <row r="45" spans="1:16" ht="12" customHeight="1" x14ac:dyDescent="0.2">
      <c r="A45" s="137"/>
      <c r="B45" s="60"/>
      <c r="C45" s="209" t="s">
        <v>12</v>
      </c>
      <c r="D45" s="209"/>
      <c r="E45" s="209"/>
      <c r="F45" s="210"/>
      <c r="G45" s="54"/>
      <c r="H45" s="54"/>
      <c r="I45" s="54"/>
      <c r="J45" s="54"/>
      <c r="K45" s="54"/>
      <c r="L45" s="54"/>
      <c r="M45" s="54"/>
      <c r="N45" s="54"/>
      <c r="O45" s="54"/>
      <c r="P45" s="128"/>
    </row>
    <row r="46" spans="1:16" ht="12" customHeight="1" x14ac:dyDescent="0.2">
      <c r="A46" s="129"/>
      <c r="B46" s="60"/>
      <c r="C46" s="52"/>
      <c r="D46" s="52" t="s">
        <v>3</v>
      </c>
      <c r="E46" s="52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128"/>
    </row>
    <row r="47" spans="1:16" ht="12" customHeight="1" x14ac:dyDescent="0.2">
      <c r="A47" s="129"/>
      <c r="B47" s="60"/>
      <c r="C47" s="52"/>
      <c r="D47" s="52"/>
      <c r="E47" s="52" t="s">
        <v>10</v>
      </c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128"/>
    </row>
    <row r="48" spans="1:16" ht="12" customHeight="1" x14ac:dyDescent="0.2">
      <c r="A48" s="129"/>
      <c r="B48" s="60"/>
      <c r="C48" s="52"/>
      <c r="D48" s="52"/>
      <c r="E48" s="52" t="s">
        <v>11</v>
      </c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128"/>
    </row>
    <row r="49" spans="1:18" ht="12" customHeight="1" x14ac:dyDescent="0.2">
      <c r="A49" s="130" t="s">
        <v>149</v>
      </c>
      <c r="B49" s="60"/>
      <c r="C49" s="52"/>
      <c r="D49" s="52"/>
      <c r="E49" s="52" t="s">
        <v>37</v>
      </c>
      <c r="F49" s="53"/>
      <c r="G49" s="131">
        <f>SUMIF(Worksheet!$B$49:$B$67,$A49,Worksheet!I$49:I$67)</f>
        <v>4353.0500000000029</v>
      </c>
      <c r="H49" s="132">
        <f>G49-SUM(I49:P49)</f>
        <v>964.80000038918206</v>
      </c>
      <c r="I49" s="131">
        <f>SUMIF(Worksheet!$B$49:$B$67,$A49,Worksheet!M$49:M$67)</f>
        <v>1604.9499998156532</v>
      </c>
      <c r="J49" s="54"/>
      <c r="K49" s="131">
        <f>SUMIF(Worksheet!$B$49:$B$67,$A49,Worksheet!N$49:N$67)</f>
        <v>1783.2999997951677</v>
      </c>
      <c r="L49" s="54"/>
      <c r="M49" s="131"/>
      <c r="N49" s="131">
        <f>SUMIF(Worksheet!$B$49:$B$67,$A49,Worksheet!O$49:O$67)</f>
        <v>0</v>
      </c>
      <c r="O49" s="131">
        <f>SUMIF(Worksheet!$B$49:$B$67,$A49,Worksheet!P$49:P$67)</f>
        <v>0</v>
      </c>
      <c r="P49" s="133">
        <f>SUMIF(Worksheet!$B$49:$B$67,$A49,Worksheet!Q$49:Q$67)</f>
        <v>0</v>
      </c>
    </row>
    <row r="50" spans="1:18" ht="12" customHeight="1" x14ac:dyDescent="0.2">
      <c r="A50" s="130" t="s">
        <v>150</v>
      </c>
      <c r="B50" s="60"/>
      <c r="C50" s="52"/>
      <c r="D50" s="52"/>
      <c r="E50" s="52" t="s">
        <v>4</v>
      </c>
      <c r="F50" s="53"/>
      <c r="G50" s="131">
        <f>SUMIF(Worksheet!$B$49:$B$67,$A50,Worksheet!I$49:I$67)</f>
        <v>0</v>
      </c>
      <c r="H50" s="132">
        <f>G50-SUM(I50:P50)</f>
        <v>0</v>
      </c>
      <c r="I50" s="131">
        <f>SUMIF(Worksheet!$B$49:$B$67,$A50,Worksheet!M$49:M$67)</f>
        <v>0</v>
      </c>
      <c r="J50" s="54"/>
      <c r="K50" s="131">
        <f>SUMIF(Worksheet!$B$49:$B$67,$A50,Worksheet!N$49:N$67)</f>
        <v>0</v>
      </c>
      <c r="L50" s="54"/>
      <c r="M50" s="131"/>
      <c r="N50" s="131">
        <f>SUMIF(Worksheet!$B$49:$B$67,$A50,Worksheet!O$49:O$67)</f>
        <v>0</v>
      </c>
      <c r="O50" s="131">
        <f>SUMIF(Worksheet!$B$49:$B$67,$A50,Worksheet!P$49:P$67)</f>
        <v>0</v>
      </c>
      <c r="P50" s="133">
        <f>SUMIF(Worksheet!$B$49:$B$67,$A50,Worksheet!Q$49:Q$67)</f>
        <v>0</v>
      </c>
    </row>
    <row r="51" spans="1:18" ht="12" customHeight="1" x14ac:dyDescent="0.2">
      <c r="A51" s="134"/>
      <c r="B51" s="60"/>
      <c r="C51" s="52"/>
      <c r="D51" s="52" t="s">
        <v>7</v>
      </c>
      <c r="E51" s="52"/>
      <c r="F51" s="53"/>
      <c r="G51" s="54">
        <f t="shared" ref="G51:P51" si="10">SUM(G47:G50)</f>
        <v>4353.0500000000029</v>
      </c>
      <c r="H51" s="54">
        <f t="shared" si="10"/>
        <v>964.80000038918206</v>
      </c>
      <c r="I51" s="54">
        <f t="shared" si="10"/>
        <v>1604.9499998156532</v>
      </c>
      <c r="J51" s="54">
        <f t="shared" si="10"/>
        <v>0</v>
      </c>
      <c r="K51" s="54">
        <f t="shared" si="10"/>
        <v>1783.2999997951677</v>
      </c>
      <c r="L51" s="54">
        <f t="shared" si="10"/>
        <v>0</v>
      </c>
      <c r="M51" s="54">
        <f t="shared" si="10"/>
        <v>0</v>
      </c>
      <c r="N51" s="54">
        <f t="shared" si="10"/>
        <v>0</v>
      </c>
      <c r="O51" s="54">
        <f t="shared" si="10"/>
        <v>0</v>
      </c>
      <c r="P51" s="128">
        <f t="shared" si="10"/>
        <v>0</v>
      </c>
    </row>
    <row r="52" spans="1:18" ht="12" customHeight="1" x14ac:dyDescent="0.2">
      <c r="A52" s="129"/>
      <c r="B52" s="60"/>
      <c r="C52" s="52"/>
      <c r="D52" s="52" t="s">
        <v>5</v>
      </c>
      <c r="E52" s="52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128"/>
    </row>
    <row r="53" spans="1:18" ht="12" customHeight="1" x14ac:dyDescent="0.2">
      <c r="A53" s="129"/>
      <c r="B53" s="60"/>
      <c r="C53" s="52"/>
      <c r="D53" s="52"/>
      <c r="E53" s="52" t="s">
        <v>10</v>
      </c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128"/>
    </row>
    <row r="54" spans="1:18" ht="12" customHeight="1" x14ac:dyDescent="0.2">
      <c r="A54" s="129"/>
      <c r="B54" s="60"/>
      <c r="C54" s="52"/>
      <c r="D54" s="52"/>
      <c r="E54" s="52" t="s">
        <v>11</v>
      </c>
      <c r="F54" s="53"/>
      <c r="G54" s="54"/>
      <c r="H54" s="54"/>
      <c r="I54" s="54"/>
      <c r="J54" s="54"/>
      <c r="K54" s="54"/>
      <c r="L54" s="54"/>
      <c r="M54" s="54"/>
      <c r="N54" s="54"/>
      <c r="O54" s="54"/>
      <c r="P54" s="128"/>
    </row>
    <row r="55" spans="1:18" ht="12" customHeight="1" x14ac:dyDescent="0.2">
      <c r="A55" s="129" t="s">
        <v>151</v>
      </c>
      <c r="B55" s="60"/>
      <c r="C55" s="52"/>
      <c r="D55" s="52"/>
      <c r="E55" s="52" t="s">
        <v>37</v>
      </c>
      <c r="F55" s="53"/>
      <c r="G55" s="131">
        <f>SUMIF(Worksheet!$B$49:$B$67,$A55,Worksheet!I$49:I$67)</f>
        <v>0</v>
      </c>
      <c r="H55" s="132">
        <f>G55-SUM(I55:P55)</f>
        <v>0</v>
      </c>
      <c r="I55" s="131">
        <f>SUMIF(Worksheet!$B$49:$B$67,$A55,Worksheet!M$49:M$67)</f>
        <v>0</v>
      </c>
      <c r="J55" s="54"/>
      <c r="K55" s="131">
        <f>SUMIF(Worksheet!$B$49:$B$67,$A55,Worksheet!N$49:N$67)</f>
        <v>0</v>
      </c>
      <c r="L55" s="54"/>
      <c r="M55" s="131"/>
      <c r="N55" s="131">
        <f>SUMIF(Worksheet!$B$49:$B$67,$A55,Worksheet!O$49:O$67)</f>
        <v>0</v>
      </c>
      <c r="O55" s="131">
        <f>SUMIF(Worksheet!$B$49:$B$67,$A55,Worksheet!P$49:P$67)</f>
        <v>0</v>
      </c>
      <c r="P55" s="133">
        <f>SUMIF(Worksheet!$B$49:$B$67,$A55,Worksheet!Q$49:Q$67)</f>
        <v>0</v>
      </c>
    </row>
    <row r="56" spans="1:18" ht="12" customHeight="1" x14ac:dyDescent="0.2">
      <c r="A56" s="129" t="s">
        <v>152</v>
      </c>
      <c r="B56" s="60"/>
      <c r="C56" s="52"/>
      <c r="D56" s="52"/>
      <c r="E56" s="52" t="s">
        <v>4</v>
      </c>
      <c r="F56" s="53"/>
      <c r="G56" s="131">
        <f>SUMIF(Worksheet!$B$49:$B$67,$A56,Worksheet!I$49:I$67)</f>
        <v>6293.9500000000116</v>
      </c>
      <c r="H56" s="132">
        <f>G56-SUM(I56:P56)</f>
        <v>4744.5000001230992</v>
      </c>
      <c r="I56" s="131">
        <f>SUMIF(Worksheet!$B$49:$B$67,$A56,Worksheet!M$49:M$67)</f>
        <v>462.94999996322343</v>
      </c>
      <c r="J56" s="54"/>
      <c r="K56" s="131">
        <f>SUMIF(Worksheet!$B$49:$B$67,$A56,Worksheet!N$49:N$67)</f>
        <v>1086.499999913689</v>
      </c>
      <c r="L56" s="54"/>
      <c r="M56" s="131"/>
      <c r="N56" s="131">
        <f>SUMIF(Worksheet!$B$49:$B$67,$A56,Worksheet!O$49:O$67)</f>
        <v>0</v>
      </c>
      <c r="O56" s="131">
        <f>SUMIF(Worksheet!$B$49:$B$67,$A56,Worksheet!P$49:P$67)</f>
        <v>0</v>
      </c>
      <c r="P56" s="133">
        <f>SUMIF(Worksheet!$B$49:$B$67,$A56,Worksheet!Q$49:Q$67)</f>
        <v>0</v>
      </c>
    </row>
    <row r="57" spans="1:18" ht="12" customHeight="1" x14ac:dyDescent="0.2">
      <c r="A57" s="134"/>
      <c r="B57" s="60"/>
      <c r="C57" s="52"/>
      <c r="D57" s="52" t="s">
        <v>8</v>
      </c>
      <c r="E57" s="52"/>
      <c r="F57" s="53"/>
      <c r="G57" s="54">
        <f t="shared" ref="G57:P57" si="11">SUM(G53:G56)</f>
        <v>6293.9500000000116</v>
      </c>
      <c r="H57" s="54">
        <f t="shared" si="11"/>
        <v>4744.5000001230992</v>
      </c>
      <c r="I57" s="54">
        <f t="shared" si="11"/>
        <v>462.94999996322343</v>
      </c>
      <c r="J57" s="54">
        <f t="shared" si="11"/>
        <v>0</v>
      </c>
      <c r="K57" s="54">
        <f t="shared" si="11"/>
        <v>1086.499999913689</v>
      </c>
      <c r="L57" s="54">
        <f t="shared" si="11"/>
        <v>0</v>
      </c>
      <c r="M57" s="54">
        <f t="shared" si="11"/>
        <v>0</v>
      </c>
      <c r="N57" s="54">
        <f t="shared" si="11"/>
        <v>0</v>
      </c>
      <c r="O57" s="54">
        <f t="shared" si="11"/>
        <v>0</v>
      </c>
      <c r="P57" s="128">
        <f t="shared" si="11"/>
        <v>0</v>
      </c>
    </row>
    <row r="58" spans="1:18" ht="12" customHeight="1" x14ac:dyDescent="0.2">
      <c r="A58" s="135"/>
      <c r="B58" s="55"/>
      <c r="C58" s="56" t="s">
        <v>13</v>
      </c>
      <c r="D58" s="56"/>
      <c r="E58" s="56"/>
      <c r="F58" s="57"/>
      <c r="G58" s="58">
        <f t="shared" ref="G58:P58" si="12">G57+G51</f>
        <v>10647.000000000015</v>
      </c>
      <c r="H58" s="58">
        <f t="shared" si="12"/>
        <v>5709.3000005122813</v>
      </c>
      <c r="I58" s="58">
        <f t="shared" si="12"/>
        <v>2067.8999997788765</v>
      </c>
      <c r="J58" s="58">
        <f t="shared" si="12"/>
        <v>0</v>
      </c>
      <c r="K58" s="58">
        <f t="shared" si="12"/>
        <v>2869.7999997088564</v>
      </c>
      <c r="L58" s="58">
        <f t="shared" si="12"/>
        <v>0</v>
      </c>
      <c r="M58" s="58">
        <f t="shared" si="12"/>
        <v>0</v>
      </c>
      <c r="N58" s="58">
        <f t="shared" si="12"/>
        <v>0</v>
      </c>
      <c r="O58" s="58">
        <f t="shared" si="12"/>
        <v>0</v>
      </c>
      <c r="P58" s="136">
        <f t="shared" si="12"/>
        <v>0</v>
      </c>
    </row>
    <row r="59" spans="1:18" ht="24" customHeight="1" x14ac:dyDescent="0.25">
      <c r="A59" s="143"/>
      <c r="B59" s="117" t="str">
        <f>"Total "&amp;B3</f>
        <v>Total Work Plan 1</v>
      </c>
      <c r="C59" s="105"/>
      <c r="D59" s="105"/>
      <c r="E59" s="105"/>
      <c r="F59" s="106"/>
      <c r="G59" s="107">
        <f t="shared" ref="G59:P59" si="13">G22+G44+G58</f>
        <v>212940</v>
      </c>
      <c r="H59" s="107">
        <f t="shared" si="13"/>
        <v>114186.00001024545</v>
      </c>
      <c r="I59" s="107">
        <f t="shared" si="13"/>
        <v>41357.999995577498</v>
      </c>
      <c r="J59" s="107">
        <f t="shared" si="13"/>
        <v>0</v>
      </c>
      <c r="K59" s="107">
        <f t="shared" si="13"/>
        <v>57395.999994177066</v>
      </c>
      <c r="L59" s="107">
        <f t="shared" si="13"/>
        <v>0</v>
      </c>
      <c r="M59" s="107">
        <f t="shared" si="13"/>
        <v>0</v>
      </c>
      <c r="N59" s="107">
        <f t="shared" si="13"/>
        <v>0</v>
      </c>
      <c r="O59" s="107">
        <f t="shared" si="13"/>
        <v>0</v>
      </c>
      <c r="P59" s="139">
        <f t="shared" si="13"/>
        <v>0</v>
      </c>
    </row>
    <row r="60" spans="1:18" s="74" customFormat="1" x14ac:dyDescent="0.2">
      <c r="A60" s="142"/>
      <c r="P60" s="99"/>
      <c r="Q60" s="99"/>
      <c r="R60" s="99"/>
    </row>
    <row r="61" spans="1:18" x14ac:dyDescent="0.2">
      <c r="A61" s="142"/>
      <c r="B61" s="48" t="s">
        <v>153</v>
      </c>
      <c r="G61" s="94">
        <f>Worksheet!J45</f>
        <v>212940.00002000001</v>
      </c>
      <c r="H61" s="94">
        <f>Worksheet!L45</f>
        <v>114186</v>
      </c>
      <c r="I61" s="94">
        <f>Worksheet!M45</f>
        <v>41358</v>
      </c>
      <c r="K61" s="94">
        <f>Worksheet!N45</f>
        <v>57396</v>
      </c>
      <c r="N61" s="94">
        <f>Worksheet!O45</f>
        <v>0</v>
      </c>
      <c r="O61" s="94">
        <f>Worksheet!P45</f>
        <v>0</v>
      </c>
      <c r="P61" s="77">
        <f>Worksheet!Q45</f>
        <v>0</v>
      </c>
    </row>
    <row r="62" spans="1:18" x14ac:dyDescent="0.2">
      <c r="A62" s="142"/>
      <c r="B62" s="48" t="s">
        <v>132</v>
      </c>
      <c r="F62" s="232">
        <f>SUM(G62:P62)</f>
        <v>-1.9999992218799889E-5</v>
      </c>
      <c r="G62" s="94">
        <f>G59-G61</f>
        <v>-2.0000006770715117E-5</v>
      </c>
      <c r="H62" s="94">
        <f>H59-H61</f>
        <v>1.0245450539514422E-5</v>
      </c>
      <c r="I62" s="94">
        <f>I59-I61</f>
        <v>-4.4225016608834267E-6</v>
      </c>
      <c r="J62" s="94"/>
      <c r="K62" s="94">
        <f>K59-K61</f>
        <v>-5.8229343267157674E-6</v>
      </c>
      <c r="L62" s="94"/>
      <c r="M62" s="94"/>
      <c r="N62" s="94">
        <f>N59-N61</f>
        <v>0</v>
      </c>
      <c r="O62" s="94">
        <f>O59-O61</f>
        <v>0</v>
      </c>
      <c r="P62" s="77">
        <f>P59-P61</f>
        <v>0</v>
      </c>
    </row>
    <row r="66" ht="12.75" hidden="1" customHeight="1" x14ac:dyDescent="0.2"/>
  </sheetData>
  <sheetProtection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25" right="0.05" top="0.75" bottom="0.25" header="0.5" footer="0"/>
  <pageSetup scale="63" orientation="portrait" r:id="rId1"/>
  <headerFooter alignWithMargins="0">
    <oddHeader>&amp;REnclosure 2</oddHeader>
    <oddFooter>&amp;LPage 1&amp;Rver 3 (12/2007)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pageSetUpPr fitToPage="1"/>
  </sheetPr>
  <dimension ref="A1:IU62"/>
  <sheetViews>
    <sheetView topLeftCell="A48" zoomScale="80" zoomScaleNormal="80" workbookViewId="0">
      <selection activeCell="F62" activeCellId="3" sqref="A19:A20 A30:A31 A55:A56 F62"/>
    </sheetView>
  </sheetViews>
  <sheetFormatPr defaultColWidth="0" defaultRowHeight="15" zeroHeight="1" x14ac:dyDescent="0.2"/>
  <cols>
    <col min="1" max="1" width="6.140625" style="48" customWidth="1"/>
    <col min="2" max="3" width="3.7109375" style="48" customWidth="1"/>
    <col min="4" max="4" width="9" style="48" customWidth="1"/>
    <col min="5" max="5" width="3.7109375" style="48" customWidth="1"/>
    <col min="6" max="6" width="22.7109375" style="48" customWidth="1"/>
    <col min="7" max="7" width="17.5703125" style="48" customWidth="1"/>
    <col min="8" max="8" width="14.28515625" style="48" customWidth="1"/>
    <col min="9" max="9" width="17.5703125" style="48" customWidth="1"/>
    <col min="10" max="10" width="15.5703125" style="48" customWidth="1"/>
    <col min="11" max="11" width="17.42578125" style="48" customWidth="1"/>
    <col min="12" max="12" width="15" style="48" customWidth="1"/>
    <col min="13" max="14" width="17.5703125" style="48" customWidth="1"/>
    <col min="15" max="15" width="16.85546875" style="48" customWidth="1"/>
    <col min="16" max="16" width="16.42578125" style="77" customWidth="1"/>
    <col min="17" max="18" width="15" style="13" hidden="1" customWidth="1"/>
    <col min="19" max="19" width="12.7109375" hidden="1" customWidth="1"/>
    <col min="20" max="255" width="0" hidden="1" customWidth="1"/>
    <col min="256" max="16384" width="0.85546875" hidden="1"/>
  </cols>
  <sheetData>
    <row r="1" spans="1:19" ht="42.75" customHeight="1" x14ac:dyDescent="0.25">
      <c r="A1" s="231">
        <f>F62</f>
        <v>-1.1000000449712388E-4</v>
      </c>
      <c r="B1" s="173" t="str">
        <f>'CSS Pgm 1'!B1:$P$1</f>
        <v>Annual Mental Health Services Act Revenue and Expenditure Report for Fiscal Year 2007-08
Community Services and Supports (CSS) Programs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9" ht="22.5" customHeight="1" x14ac:dyDescent="0.25">
      <c r="B2" s="47" t="s">
        <v>28</v>
      </c>
      <c r="C2" s="47"/>
      <c r="D2" s="47"/>
      <c r="E2" s="226" t="str">
        <f>'CSS Pgm 1'!E2</f>
        <v>Santa Cruz</v>
      </c>
      <c r="F2" s="226"/>
      <c r="G2" s="74"/>
      <c r="H2" s="74"/>
      <c r="I2" s="74"/>
      <c r="J2" s="74"/>
      <c r="K2" s="74"/>
      <c r="L2" s="74"/>
      <c r="M2" s="74"/>
      <c r="N2" s="74"/>
      <c r="O2" s="49" t="s">
        <v>29</v>
      </c>
      <c r="P2" s="120" t="str">
        <f>Worksheet!$N$2</f>
        <v>10/7/09</v>
      </c>
    </row>
    <row r="3" spans="1:19" ht="20.25" customHeight="1" x14ac:dyDescent="0.25">
      <c r="B3" s="47" t="s">
        <v>220</v>
      </c>
      <c r="C3" s="47"/>
      <c r="D3" s="47"/>
      <c r="E3" s="224" t="str">
        <f>Worksheet!D75</f>
        <v>Probation Gate</v>
      </c>
      <c r="F3" s="225"/>
      <c r="G3" s="74"/>
      <c r="H3" s="74"/>
      <c r="I3" s="74"/>
      <c r="J3" s="74"/>
      <c r="K3" s="74"/>
      <c r="L3" s="74"/>
      <c r="M3" s="74"/>
      <c r="N3" s="74"/>
    </row>
    <row r="4" spans="1:19" ht="12" customHeight="1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99"/>
    </row>
    <row r="5" spans="1:19" s="3" customFormat="1" ht="18.75" customHeight="1" x14ac:dyDescent="0.25">
      <c r="A5" s="122"/>
      <c r="B5" s="174" t="s">
        <v>30</v>
      </c>
      <c r="C5" s="175"/>
      <c r="D5" s="175"/>
      <c r="E5" s="175"/>
      <c r="F5" s="176"/>
      <c r="G5" s="75" t="s">
        <v>19</v>
      </c>
      <c r="H5" s="101" t="s">
        <v>20</v>
      </c>
      <c r="I5" s="101" t="s">
        <v>27</v>
      </c>
      <c r="J5" s="101" t="s">
        <v>21</v>
      </c>
      <c r="K5" s="101" t="s">
        <v>22</v>
      </c>
      <c r="L5" s="101" t="s">
        <v>23</v>
      </c>
      <c r="M5" s="101" t="s">
        <v>24</v>
      </c>
      <c r="N5" s="101" t="s">
        <v>25</v>
      </c>
      <c r="O5" s="101" t="s">
        <v>26</v>
      </c>
      <c r="P5" s="141" t="s">
        <v>63</v>
      </c>
      <c r="Q5" s="14"/>
      <c r="R5" s="14"/>
    </row>
    <row r="6" spans="1:19" s="3" customFormat="1" ht="19.5" customHeight="1" x14ac:dyDescent="0.25">
      <c r="A6" s="122"/>
      <c r="B6" s="177"/>
      <c r="C6" s="178"/>
      <c r="D6" s="178"/>
      <c r="E6" s="178"/>
      <c r="F6" s="179"/>
      <c r="G6" s="171" t="s">
        <v>6</v>
      </c>
      <c r="H6" s="201" t="s">
        <v>36</v>
      </c>
      <c r="I6" s="202"/>
      <c r="J6" s="202"/>
      <c r="K6" s="202"/>
      <c r="L6" s="202"/>
      <c r="M6" s="202"/>
      <c r="N6" s="202"/>
      <c r="O6" s="202"/>
      <c r="P6" s="203"/>
      <c r="Q6" s="14"/>
      <c r="R6" s="14"/>
    </row>
    <row r="7" spans="1:19" s="1" customFormat="1" ht="42" customHeight="1" x14ac:dyDescent="0.2">
      <c r="A7" s="124"/>
      <c r="B7" s="180"/>
      <c r="C7" s="181"/>
      <c r="D7" s="181"/>
      <c r="E7" s="181"/>
      <c r="F7" s="182"/>
      <c r="G7" s="172"/>
      <c r="H7" s="119" t="s">
        <v>0</v>
      </c>
      <c r="I7" s="119" t="s">
        <v>35</v>
      </c>
      <c r="J7" s="119" t="s">
        <v>18</v>
      </c>
      <c r="K7" s="119" t="s">
        <v>1</v>
      </c>
      <c r="L7" s="119" t="s">
        <v>15</v>
      </c>
      <c r="M7" s="119" t="s">
        <v>16</v>
      </c>
      <c r="N7" s="119" t="s">
        <v>2</v>
      </c>
      <c r="O7" s="119" t="s">
        <v>17</v>
      </c>
      <c r="P7" s="140" t="s">
        <v>62</v>
      </c>
      <c r="Q7" s="15"/>
      <c r="R7" s="15"/>
      <c r="S7" s="2"/>
    </row>
    <row r="8" spans="1:19" ht="27" customHeight="1" x14ac:dyDescent="0.25">
      <c r="A8" s="125"/>
      <c r="B8" s="86" t="str">
        <f>B3</f>
        <v>Work Plan 2</v>
      </c>
      <c r="C8" s="87"/>
      <c r="D8" s="87"/>
      <c r="E8" s="87"/>
      <c r="F8" s="88"/>
      <c r="G8" s="80"/>
      <c r="H8" s="80"/>
      <c r="I8" s="80"/>
      <c r="J8" s="80"/>
      <c r="K8" s="80"/>
      <c r="L8" s="80"/>
      <c r="M8" s="80"/>
      <c r="N8" s="80"/>
      <c r="O8" s="80"/>
      <c r="P8" s="126"/>
    </row>
    <row r="9" spans="1:19" ht="12" customHeight="1" x14ac:dyDescent="0.2">
      <c r="A9" s="127"/>
      <c r="B9" s="60"/>
      <c r="C9" s="211" t="s">
        <v>85</v>
      </c>
      <c r="D9" s="211"/>
      <c r="E9" s="211"/>
      <c r="F9" s="212"/>
      <c r="G9" s="54"/>
      <c r="H9" s="54"/>
      <c r="I9" s="54"/>
      <c r="J9" s="54"/>
      <c r="K9" s="54"/>
      <c r="L9" s="54"/>
      <c r="M9" s="54"/>
      <c r="N9" s="54"/>
      <c r="O9" s="54"/>
      <c r="P9" s="128"/>
    </row>
    <row r="10" spans="1:19" ht="12" customHeight="1" x14ac:dyDescent="0.2">
      <c r="A10" s="129"/>
      <c r="B10" s="60"/>
      <c r="C10" s="52"/>
      <c r="D10" s="52" t="s">
        <v>3</v>
      </c>
      <c r="E10" s="52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128"/>
    </row>
    <row r="11" spans="1:19" ht="12" customHeight="1" x14ac:dyDescent="0.2">
      <c r="A11" s="129"/>
      <c r="B11" s="60"/>
      <c r="C11" s="52"/>
      <c r="D11" s="52"/>
      <c r="E11" s="52" t="s">
        <v>10</v>
      </c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128"/>
    </row>
    <row r="12" spans="1:19" ht="12" customHeight="1" x14ac:dyDescent="0.2">
      <c r="A12" s="129"/>
      <c r="B12" s="60"/>
      <c r="C12" s="52"/>
      <c r="D12" s="52"/>
      <c r="E12" s="52" t="s">
        <v>11</v>
      </c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128"/>
    </row>
    <row r="13" spans="1:19" ht="12" customHeight="1" x14ac:dyDescent="0.2">
      <c r="A13" s="130" t="s">
        <v>138</v>
      </c>
      <c r="B13" s="60"/>
      <c r="C13" s="52"/>
      <c r="D13" s="52"/>
      <c r="E13" s="52" t="s">
        <v>37</v>
      </c>
      <c r="F13" s="53"/>
      <c r="G13" s="131">
        <f>SUMIF(Worksheet!$B$85:$B$103,$A13,Worksheet!I$85:I$103)</f>
        <v>0</v>
      </c>
      <c r="H13" s="132">
        <f>G13-SUM(I13:P13)</f>
        <v>0</v>
      </c>
      <c r="I13" s="131">
        <f>SUMIF(Worksheet!$B$85:$B$103,$A13,Worksheet!M$85:M$103)</f>
        <v>0</v>
      </c>
      <c r="J13" s="54"/>
      <c r="K13" s="131">
        <f>SUMIF(Worksheet!$B$85:$B$103,$A13,Worksheet!N$85:N$103)</f>
        <v>0</v>
      </c>
      <c r="L13" s="54"/>
      <c r="M13" s="131"/>
      <c r="N13" s="131">
        <f>SUMIF(Worksheet!$B$85:$B$103,$A13,Worksheet!O$85:O$103)</f>
        <v>0</v>
      </c>
      <c r="O13" s="131">
        <f>SUMIF(Worksheet!$B$85:$B$103,$A13,Worksheet!P$85:P$103)</f>
        <v>0</v>
      </c>
      <c r="P13" s="133">
        <f>SUMIF(Worksheet!$B$85:$B$103,$A13,Worksheet!Q$85:Q$103)</f>
        <v>0</v>
      </c>
    </row>
    <row r="14" spans="1:19" ht="12" customHeight="1" x14ac:dyDescent="0.2">
      <c r="A14" s="130" t="s">
        <v>142</v>
      </c>
      <c r="B14" s="60"/>
      <c r="C14" s="52"/>
      <c r="D14" s="52"/>
      <c r="E14" s="52" t="s">
        <v>4</v>
      </c>
      <c r="F14" s="53"/>
      <c r="G14" s="131">
        <f>SUMIF(Worksheet!$B$85:$B$103,$A14,Worksheet!I$85:I$103)</f>
        <v>0</v>
      </c>
      <c r="H14" s="132">
        <f>G14-SUM(I14:P14)</f>
        <v>0</v>
      </c>
      <c r="I14" s="131">
        <f>SUMIF(Worksheet!$B$85:$B$103,$A14,Worksheet!M$85:M$103)</f>
        <v>0</v>
      </c>
      <c r="J14" s="54"/>
      <c r="K14" s="131">
        <f>SUMIF(Worksheet!$B$85:$B$103,$A14,Worksheet!N$85:N$103)</f>
        <v>0</v>
      </c>
      <c r="L14" s="54"/>
      <c r="M14" s="131"/>
      <c r="N14" s="131">
        <f>SUMIF(Worksheet!$B$85:$B$103,$A14,Worksheet!O$85:O$103)</f>
        <v>0</v>
      </c>
      <c r="O14" s="131">
        <f>SUMIF(Worksheet!$B$85:$B$103,$A14,Worksheet!P$85:P$103)</f>
        <v>0</v>
      </c>
      <c r="P14" s="133">
        <f>SUMIF(Worksheet!$B$85:$B$103,$A14,Worksheet!Q$85:Q$103)</f>
        <v>0</v>
      </c>
    </row>
    <row r="15" spans="1:19" ht="12" customHeight="1" x14ac:dyDescent="0.2">
      <c r="A15" s="134"/>
      <c r="B15" s="60"/>
      <c r="C15" s="52"/>
      <c r="D15" s="52" t="s">
        <v>7</v>
      </c>
      <c r="E15" s="52"/>
      <c r="F15" s="53"/>
      <c r="G15" s="54">
        <f>SUM(G11:G14)</f>
        <v>0</v>
      </c>
      <c r="H15" s="54">
        <f t="shared" ref="H15:P15" si="0">SUM(H11:H14)</f>
        <v>0</v>
      </c>
      <c r="I15" s="54">
        <f t="shared" si="0"/>
        <v>0</v>
      </c>
      <c r="J15" s="54">
        <f t="shared" si="0"/>
        <v>0</v>
      </c>
      <c r="K15" s="54">
        <f t="shared" si="0"/>
        <v>0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128">
        <f t="shared" si="0"/>
        <v>0</v>
      </c>
    </row>
    <row r="16" spans="1:19" ht="12" customHeight="1" x14ac:dyDescent="0.2">
      <c r="A16" s="129"/>
      <c r="B16" s="60"/>
      <c r="C16" s="52"/>
      <c r="D16" s="52" t="s">
        <v>5</v>
      </c>
      <c r="E16" s="52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128"/>
    </row>
    <row r="17" spans="1:16" ht="12" customHeight="1" x14ac:dyDescent="0.2">
      <c r="A17" s="129"/>
      <c r="B17" s="60"/>
      <c r="C17" s="52"/>
      <c r="D17" s="52"/>
      <c r="E17" s="52" t="s">
        <v>10</v>
      </c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128"/>
    </row>
    <row r="18" spans="1:16" ht="12" customHeight="1" x14ac:dyDescent="0.2">
      <c r="A18" s="129"/>
      <c r="B18" s="60"/>
      <c r="C18" s="52"/>
      <c r="D18" s="52"/>
      <c r="E18" s="52" t="s">
        <v>11</v>
      </c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128"/>
    </row>
    <row r="19" spans="1:16" ht="12" customHeight="1" x14ac:dyDescent="0.2">
      <c r="A19" s="129" t="s">
        <v>143</v>
      </c>
      <c r="B19" s="60"/>
      <c r="C19" s="52"/>
      <c r="D19" s="52"/>
      <c r="E19" s="52" t="s">
        <v>37</v>
      </c>
      <c r="F19" s="53"/>
      <c r="G19" s="131">
        <f>SUMIF(Worksheet!$B$85:$B$103,$A19,Worksheet!I$85:I$103)</f>
        <v>0</v>
      </c>
      <c r="H19" s="132">
        <f>G19-SUM(I19:P19)</f>
        <v>0</v>
      </c>
      <c r="I19" s="131">
        <f>SUMIF(Worksheet!$B$85:$B$103,$A19,Worksheet!M$85:M$103)</f>
        <v>0</v>
      </c>
      <c r="J19" s="54"/>
      <c r="K19" s="131">
        <f>SUMIF(Worksheet!$B$85:$B$103,$A19,Worksheet!N$85:N$103)</f>
        <v>0</v>
      </c>
      <c r="L19" s="54"/>
      <c r="M19" s="131"/>
      <c r="N19" s="131">
        <f>SUMIF(Worksheet!$B$85:$B$103,$A19,Worksheet!O$85:O$103)</f>
        <v>0</v>
      </c>
      <c r="O19" s="131">
        <f>SUMIF(Worksheet!$B$85:$B$103,$A19,Worksheet!P$85:P$103)</f>
        <v>0</v>
      </c>
      <c r="P19" s="133">
        <f>SUMIF(Worksheet!$B$85:$B$103,$A19,Worksheet!Q$85:Q$103)</f>
        <v>0</v>
      </c>
    </row>
    <row r="20" spans="1:16" ht="12" customHeight="1" x14ac:dyDescent="0.2">
      <c r="A20" s="129" t="s">
        <v>144</v>
      </c>
      <c r="B20" s="60"/>
      <c r="C20" s="52"/>
      <c r="D20" s="52"/>
      <c r="E20" s="52" t="s">
        <v>4</v>
      </c>
      <c r="F20" s="53"/>
      <c r="G20" s="131">
        <f>SUMIF(Worksheet!$B$85:$B$103,$A20,Worksheet!I$85:I$103)</f>
        <v>0</v>
      </c>
      <c r="H20" s="132">
        <f>G20-SUM(I20:P20)</f>
        <v>0</v>
      </c>
      <c r="I20" s="131">
        <f>SUMIF(Worksheet!$B$85:$B$103,$A20,Worksheet!M$85:M$103)</f>
        <v>0</v>
      </c>
      <c r="J20" s="54"/>
      <c r="K20" s="131">
        <f>SUMIF(Worksheet!$B$85:$B$103,$A20,Worksheet!N$85:N$103)</f>
        <v>0</v>
      </c>
      <c r="L20" s="54"/>
      <c r="M20" s="131"/>
      <c r="N20" s="131">
        <f>SUMIF(Worksheet!$B$85:$B$103,$A20,Worksheet!O$85:O$103)</f>
        <v>0</v>
      </c>
      <c r="O20" s="131">
        <f>SUMIF(Worksheet!$B$85:$B$103,$A20,Worksheet!P$85:P$103)</f>
        <v>0</v>
      </c>
      <c r="P20" s="133">
        <f>SUMIF(Worksheet!$B$85:$B$103,$A20,Worksheet!Q$85:Q$103)</f>
        <v>0</v>
      </c>
    </row>
    <row r="21" spans="1:16" ht="12" customHeight="1" x14ac:dyDescent="0.2">
      <c r="A21" s="134"/>
      <c r="B21" s="60"/>
      <c r="C21" s="52"/>
      <c r="D21" s="52" t="s">
        <v>8</v>
      </c>
      <c r="E21" s="52"/>
      <c r="F21" s="53"/>
      <c r="G21" s="54">
        <f>SUM(G17:G20)</f>
        <v>0</v>
      </c>
      <c r="H21" s="54">
        <f t="shared" ref="H21:P21" si="1">SUM(H17:H20)</f>
        <v>0</v>
      </c>
      <c r="I21" s="54">
        <f t="shared" si="1"/>
        <v>0</v>
      </c>
      <c r="J21" s="54">
        <f t="shared" si="1"/>
        <v>0</v>
      </c>
      <c r="K21" s="54">
        <f t="shared" si="1"/>
        <v>0</v>
      </c>
      <c r="L21" s="54">
        <f t="shared" si="1"/>
        <v>0</v>
      </c>
      <c r="M21" s="54">
        <f t="shared" si="1"/>
        <v>0</v>
      </c>
      <c r="N21" s="54">
        <f t="shared" si="1"/>
        <v>0</v>
      </c>
      <c r="O21" s="54">
        <f t="shared" si="1"/>
        <v>0</v>
      </c>
      <c r="P21" s="128">
        <f t="shared" si="1"/>
        <v>0</v>
      </c>
    </row>
    <row r="22" spans="1:16" ht="12" customHeight="1" x14ac:dyDescent="0.2">
      <c r="A22" s="135"/>
      <c r="B22" s="55"/>
      <c r="C22" s="56" t="s">
        <v>9</v>
      </c>
      <c r="D22" s="56"/>
      <c r="E22" s="56"/>
      <c r="F22" s="57"/>
      <c r="G22" s="58">
        <f>G15+G21</f>
        <v>0</v>
      </c>
      <c r="H22" s="58">
        <f t="shared" ref="H22:P22" si="2">H15+H21</f>
        <v>0</v>
      </c>
      <c r="I22" s="58">
        <f t="shared" si="2"/>
        <v>0</v>
      </c>
      <c r="J22" s="58">
        <f t="shared" si="2"/>
        <v>0</v>
      </c>
      <c r="K22" s="58">
        <f t="shared" si="2"/>
        <v>0</v>
      </c>
      <c r="L22" s="58">
        <f t="shared" si="2"/>
        <v>0</v>
      </c>
      <c r="M22" s="58">
        <f t="shared" si="2"/>
        <v>0</v>
      </c>
      <c r="N22" s="58">
        <f t="shared" si="2"/>
        <v>0</v>
      </c>
      <c r="O22" s="58">
        <f t="shared" si="2"/>
        <v>0</v>
      </c>
      <c r="P22" s="136">
        <f t="shared" si="2"/>
        <v>0</v>
      </c>
    </row>
    <row r="23" spans="1:16" ht="12" customHeight="1" x14ac:dyDescent="0.2">
      <c r="A23" s="127"/>
      <c r="B23" s="60"/>
      <c r="C23" s="213" t="s">
        <v>79</v>
      </c>
      <c r="D23" s="213"/>
      <c r="E23" s="213"/>
      <c r="F23" s="214"/>
      <c r="G23" s="54"/>
      <c r="H23" s="54"/>
      <c r="I23" s="54"/>
      <c r="J23" s="54"/>
      <c r="K23" s="54"/>
      <c r="L23" s="54"/>
      <c r="M23" s="54"/>
      <c r="N23" s="54"/>
      <c r="O23" s="54"/>
      <c r="P23" s="128"/>
    </row>
    <row r="24" spans="1:16" ht="12" customHeight="1" x14ac:dyDescent="0.2">
      <c r="A24" s="129"/>
      <c r="B24" s="60"/>
      <c r="C24" s="52"/>
      <c r="D24" s="52" t="s">
        <v>31</v>
      </c>
      <c r="E24" s="52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128"/>
    </row>
    <row r="25" spans="1:16" ht="12" customHeight="1" x14ac:dyDescent="0.2">
      <c r="A25" s="129"/>
      <c r="B25" s="60"/>
      <c r="C25" s="52"/>
      <c r="D25" s="52"/>
      <c r="E25" s="52" t="s">
        <v>3</v>
      </c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128"/>
    </row>
    <row r="26" spans="1:16" ht="12" customHeight="1" x14ac:dyDescent="0.2">
      <c r="A26" s="130" t="s">
        <v>145</v>
      </c>
      <c r="B26" s="60"/>
      <c r="C26" s="52"/>
      <c r="D26" s="52"/>
      <c r="E26" s="52"/>
      <c r="F26" s="53" t="s">
        <v>37</v>
      </c>
      <c r="G26" s="131">
        <f>SUMIF(Worksheet!$B$85:$B$103,$A26,Worksheet!I$85:I$103)</f>
        <v>0</v>
      </c>
      <c r="H26" s="132">
        <f>G26-SUM(I26:P26)</f>
        <v>0</v>
      </c>
      <c r="I26" s="131">
        <f>SUMIF(Worksheet!$B$85:$B$103,$A26,Worksheet!M$85:M$103)</f>
        <v>0</v>
      </c>
      <c r="J26" s="54"/>
      <c r="K26" s="131">
        <f>SUMIF(Worksheet!$B$85:$B$103,$A26,Worksheet!N$85:N$103)</f>
        <v>0</v>
      </c>
      <c r="L26" s="54"/>
      <c r="M26" s="131"/>
      <c r="N26" s="131">
        <f>SUMIF(Worksheet!$B$85:$B$103,$A26,Worksheet!O$85:O$103)</f>
        <v>0</v>
      </c>
      <c r="O26" s="131">
        <f>SUMIF(Worksheet!$B$85:$B$103,$A26,Worksheet!P$85:P$103)</f>
        <v>0</v>
      </c>
      <c r="P26" s="133">
        <f>SUMIF(Worksheet!$B$85:$B$103,$A26,Worksheet!Q$85:Q$103)</f>
        <v>0</v>
      </c>
    </row>
    <row r="27" spans="1:16" ht="12" customHeight="1" x14ac:dyDescent="0.2">
      <c r="A27" s="130" t="s">
        <v>146</v>
      </c>
      <c r="B27" s="60"/>
      <c r="C27" s="52"/>
      <c r="D27" s="52"/>
      <c r="E27" s="52"/>
      <c r="F27" s="53" t="s">
        <v>4</v>
      </c>
      <c r="G27" s="131">
        <f>SUMIF(Worksheet!$B$85:$B$103,$A27,Worksheet!I$85:I$103)</f>
        <v>0</v>
      </c>
      <c r="H27" s="132">
        <f>G27-SUM(I27:P27)</f>
        <v>0</v>
      </c>
      <c r="I27" s="131">
        <f>SUMIF(Worksheet!$B$85:$B$103,$A27,Worksheet!M$85:M$103)</f>
        <v>0</v>
      </c>
      <c r="J27" s="54"/>
      <c r="K27" s="131">
        <f>SUMIF(Worksheet!$B$85:$B$103,$A27,Worksheet!N$85:N$103)</f>
        <v>0</v>
      </c>
      <c r="L27" s="54"/>
      <c r="M27" s="131"/>
      <c r="N27" s="131">
        <f>SUMIF(Worksheet!$B$85:$B$103,$A27,Worksheet!O$85:O$103)</f>
        <v>0</v>
      </c>
      <c r="O27" s="131">
        <f>SUMIF(Worksheet!$B$85:$B$103,$A27,Worksheet!P$85:P$103)</f>
        <v>0</v>
      </c>
      <c r="P27" s="133">
        <f>SUMIF(Worksheet!$B$85:$B$103,$A27,Worksheet!Q$85:Q$103)</f>
        <v>0</v>
      </c>
    </row>
    <row r="28" spans="1:16" ht="12" customHeight="1" x14ac:dyDescent="0.2">
      <c r="A28" s="134"/>
      <c r="B28" s="60"/>
      <c r="C28" s="52"/>
      <c r="D28" s="52"/>
      <c r="E28" s="52" t="s">
        <v>7</v>
      </c>
      <c r="F28" s="53"/>
      <c r="G28" s="54">
        <f>SUM(G26:G27)</f>
        <v>0</v>
      </c>
      <c r="H28" s="54">
        <f t="shared" ref="H28:P28" si="3">SUM(H26:H27)</f>
        <v>0</v>
      </c>
      <c r="I28" s="54">
        <f t="shared" si="3"/>
        <v>0</v>
      </c>
      <c r="J28" s="54">
        <f t="shared" si="3"/>
        <v>0</v>
      </c>
      <c r="K28" s="54">
        <f t="shared" si="3"/>
        <v>0</v>
      </c>
      <c r="L28" s="54">
        <f t="shared" si="3"/>
        <v>0</v>
      </c>
      <c r="M28" s="54">
        <f t="shared" si="3"/>
        <v>0</v>
      </c>
      <c r="N28" s="54">
        <f t="shared" si="3"/>
        <v>0</v>
      </c>
      <c r="O28" s="54">
        <f t="shared" si="3"/>
        <v>0</v>
      </c>
      <c r="P28" s="128">
        <f t="shared" si="3"/>
        <v>0</v>
      </c>
    </row>
    <row r="29" spans="1:16" ht="12" customHeight="1" x14ac:dyDescent="0.2">
      <c r="A29" s="129"/>
      <c r="B29" s="60"/>
      <c r="C29" s="52"/>
      <c r="D29" s="52"/>
      <c r="E29" s="52" t="s">
        <v>5</v>
      </c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128"/>
    </row>
    <row r="30" spans="1:16" ht="12" customHeight="1" x14ac:dyDescent="0.2">
      <c r="A30" s="129" t="s">
        <v>147</v>
      </c>
      <c r="B30" s="60"/>
      <c r="C30" s="52"/>
      <c r="D30" s="52"/>
      <c r="E30" s="52"/>
      <c r="F30" s="53" t="s">
        <v>37</v>
      </c>
      <c r="G30" s="131">
        <f>SUMIF(Worksheet!$B$85:$B$103,$A30,Worksheet!I$85:I$103)</f>
        <v>0</v>
      </c>
      <c r="H30" s="132">
        <f>G30-SUM(I30:P30)</f>
        <v>0</v>
      </c>
      <c r="I30" s="131">
        <f>SUMIF(Worksheet!$B$85:$B$103,$A30,Worksheet!M$85:M$103)</f>
        <v>0</v>
      </c>
      <c r="J30" s="54"/>
      <c r="K30" s="131">
        <f>SUMIF(Worksheet!$B$85:$B$103,$A30,Worksheet!N$85:N$103)</f>
        <v>0</v>
      </c>
      <c r="L30" s="54"/>
      <c r="M30" s="131"/>
      <c r="N30" s="131">
        <f>SUMIF(Worksheet!$B$85:$B$103,$A30,Worksheet!O$85:O$103)</f>
        <v>0</v>
      </c>
      <c r="O30" s="131">
        <f>SUMIF(Worksheet!$B$85:$B$103,$A30,Worksheet!P$85:P$103)</f>
        <v>0</v>
      </c>
      <c r="P30" s="133">
        <f>SUMIF(Worksheet!$B$85:$B$103,$A30,Worksheet!Q$85:Q$103)</f>
        <v>0</v>
      </c>
    </row>
    <row r="31" spans="1:16" ht="12" customHeight="1" x14ac:dyDescent="0.2">
      <c r="A31" s="129" t="s">
        <v>148</v>
      </c>
      <c r="B31" s="60"/>
      <c r="C31" s="52"/>
      <c r="D31" s="52"/>
      <c r="E31" s="52"/>
      <c r="F31" s="53" t="s">
        <v>4</v>
      </c>
      <c r="G31" s="131">
        <f>SUMIF(Worksheet!$B$85:$B$103,$A31,Worksheet!I$85:I$103)</f>
        <v>117290.79992180614</v>
      </c>
      <c r="H31" s="132">
        <f>G31-SUM(I31:P31)</f>
        <v>58068.750009254567</v>
      </c>
      <c r="I31" s="131">
        <f>SUMIF(Worksheet!$B$85:$B$103,$A31,Worksheet!M$85:M$103)</f>
        <v>28052.549958577063</v>
      </c>
      <c r="J31" s="54"/>
      <c r="K31" s="131">
        <f>SUMIF(Worksheet!$B$85:$B$103,$A31,Worksheet!N$85:N$103)</f>
        <v>31169.499953974515</v>
      </c>
      <c r="L31" s="54"/>
      <c r="M31" s="131"/>
      <c r="N31" s="131">
        <f>SUMIF(Worksheet!$B$85:$B$103,$A31,Worksheet!O$85:O$103)</f>
        <v>0</v>
      </c>
      <c r="O31" s="131">
        <f>SUMIF(Worksheet!$B$85:$B$103,$A31,Worksheet!P$85:P$103)</f>
        <v>0</v>
      </c>
      <c r="P31" s="133">
        <f>SUMIF(Worksheet!$B$85:$B$103,$A31,Worksheet!Q$85:Q$103)</f>
        <v>0</v>
      </c>
    </row>
    <row r="32" spans="1:16" ht="12" customHeight="1" x14ac:dyDescent="0.2">
      <c r="A32" s="134"/>
      <c r="B32" s="60"/>
      <c r="C32" s="52"/>
      <c r="D32" s="52"/>
      <c r="E32" s="52" t="s">
        <v>8</v>
      </c>
      <c r="F32" s="53"/>
      <c r="G32" s="54">
        <f>SUM(G30:G31)</f>
        <v>117290.79992180614</v>
      </c>
      <c r="H32" s="54">
        <f t="shared" ref="H32:P32" si="4">SUM(H30:H31)</f>
        <v>58068.750009254567</v>
      </c>
      <c r="I32" s="54">
        <f t="shared" si="4"/>
        <v>28052.549958577063</v>
      </c>
      <c r="J32" s="54">
        <f t="shared" si="4"/>
        <v>0</v>
      </c>
      <c r="K32" s="54">
        <f t="shared" si="4"/>
        <v>31169.499953974515</v>
      </c>
      <c r="L32" s="54">
        <f t="shared" si="4"/>
        <v>0</v>
      </c>
      <c r="M32" s="54">
        <f t="shared" si="4"/>
        <v>0</v>
      </c>
      <c r="N32" s="54">
        <f t="shared" si="4"/>
        <v>0</v>
      </c>
      <c r="O32" s="54">
        <f t="shared" si="4"/>
        <v>0</v>
      </c>
      <c r="P32" s="128">
        <f t="shared" si="4"/>
        <v>0</v>
      </c>
    </row>
    <row r="33" spans="1:16" ht="12" customHeight="1" x14ac:dyDescent="0.2">
      <c r="A33" s="134"/>
      <c r="B33" s="60"/>
      <c r="C33" s="52"/>
      <c r="D33" s="52" t="s">
        <v>32</v>
      </c>
      <c r="E33" s="52"/>
      <c r="F33" s="53"/>
      <c r="G33" s="54">
        <f>G28+G32</f>
        <v>117290.79992180614</v>
      </c>
      <c r="H33" s="54">
        <f t="shared" ref="H33:P33" si="5">H28+H32</f>
        <v>58068.750009254567</v>
      </c>
      <c r="I33" s="54">
        <f t="shared" si="5"/>
        <v>28052.549958577063</v>
      </c>
      <c r="J33" s="54">
        <f t="shared" si="5"/>
        <v>0</v>
      </c>
      <c r="K33" s="54">
        <f t="shared" si="5"/>
        <v>31169.499953974515</v>
      </c>
      <c r="L33" s="54">
        <f t="shared" si="5"/>
        <v>0</v>
      </c>
      <c r="M33" s="54">
        <f t="shared" si="5"/>
        <v>0</v>
      </c>
      <c r="N33" s="54">
        <f t="shared" si="5"/>
        <v>0</v>
      </c>
      <c r="O33" s="54">
        <f t="shared" si="5"/>
        <v>0</v>
      </c>
      <c r="P33" s="128">
        <f t="shared" si="5"/>
        <v>0</v>
      </c>
    </row>
    <row r="34" spans="1:16" ht="12" customHeight="1" x14ac:dyDescent="0.2">
      <c r="A34" s="129"/>
      <c r="B34" s="60"/>
      <c r="C34" s="52"/>
      <c r="D34" s="52" t="s">
        <v>33</v>
      </c>
      <c r="E34" s="52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128"/>
    </row>
    <row r="35" spans="1:16" ht="12" customHeight="1" x14ac:dyDescent="0.2">
      <c r="A35" s="129"/>
      <c r="B35" s="60"/>
      <c r="C35" s="52"/>
      <c r="D35" s="52"/>
      <c r="E35" s="52" t="s">
        <v>3</v>
      </c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128"/>
    </row>
    <row r="36" spans="1:16" ht="12" customHeight="1" x14ac:dyDescent="0.2">
      <c r="A36" s="129"/>
      <c r="B36" s="60"/>
      <c r="C36" s="52"/>
      <c r="D36" s="52"/>
      <c r="E36" s="52"/>
      <c r="F36" s="53" t="s">
        <v>37</v>
      </c>
      <c r="G36" s="54"/>
      <c r="H36" s="54"/>
      <c r="I36" s="54"/>
      <c r="J36" s="54"/>
      <c r="K36" s="54"/>
      <c r="L36" s="54"/>
      <c r="M36" s="54"/>
      <c r="N36" s="54"/>
      <c r="O36" s="54"/>
      <c r="P36" s="128"/>
    </row>
    <row r="37" spans="1:16" ht="12" customHeight="1" x14ac:dyDescent="0.2">
      <c r="A37" s="129"/>
      <c r="B37" s="60"/>
      <c r="C37" s="52"/>
      <c r="D37" s="52"/>
      <c r="E37" s="52"/>
      <c r="F37" s="53" t="s">
        <v>4</v>
      </c>
      <c r="G37" s="54"/>
      <c r="H37" s="54"/>
      <c r="I37" s="54"/>
      <c r="J37" s="54"/>
      <c r="K37" s="54"/>
      <c r="L37" s="54"/>
      <c r="M37" s="54"/>
      <c r="N37" s="54"/>
      <c r="O37" s="54"/>
      <c r="P37" s="128"/>
    </row>
    <row r="38" spans="1:16" ht="12" customHeight="1" x14ac:dyDescent="0.2">
      <c r="A38" s="134"/>
      <c r="B38" s="60"/>
      <c r="C38" s="52"/>
      <c r="D38" s="52"/>
      <c r="E38" s="52" t="s">
        <v>7</v>
      </c>
      <c r="F38" s="53"/>
      <c r="G38" s="54">
        <f t="shared" ref="G38:P38" si="6">SUM(G36:G37)</f>
        <v>0</v>
      </c>
      <c r="H38" s="54">
        <f t="shared" si="6"/>
        <v>0</v>
      </c>
      <c r="I38" s="54">
        <f t="shared" si="6"/>
        <v>0</v>
      </c>
      <c r="J38" s="54">
        <f t="shared" si="6"/>
        <v>0</v>
      </c>
      <c r="K38" s="54">
        <f t="shared" si="6"/>
        <v>0</v>
      </c>
      <c r="L38" s="54">
        <f t="shared" si="6"/>
        <v>0</v>
      </c>
      <c r="M38" s="54">
        <f t="shared" si="6"/>
        <v>0</v>
      </c>
      <c r="N38" s="54">
        <f t="shared" si="6"/>
        <v>0</v>
      </c>
      <c r="O38" s="54">
        <f t="shared" si="6"/>
        <v>0</v>
      </c>
      <c r="P38" s="128">
        <f t="shared" si="6"/>
        <v>0</v>
      </c>
    </row>
    <row r="39" spans="1:16" ht="12" customHeight="1" x14ac:dyDescent="0.2">
      <c r="A39" s="129"/>
      <c r="B39" s="60"/>
      <c r="C39" s="52"/>
      <c r="D39" s="52"/>
      <c r="E39" s="52" t="s">
        <v>5</v>
      </c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128"/>
    </row>
    <row r="40" spans="1:16" ht="12" customHeight="1" x14ac:dyDescent="0.2">
      <c r="A40" s="129"/>
      <c r="B40" s="60"/>
      <c r="C40" s="52"/>
      <c r="D40" s="52"/>
      <c r="E40" s="52"/>
      <c r="F40" s="53" t="s">
        <v>37</v>
      </c>
      <c r="G40" s="54"/>
      <c r="H40" s="54"/>
      <c r="I40" s="54"/>
      <c r="J40" s="54"/>
      <c r="K40" s="54"/>
      <c r="L40" s="54"/>
      <c r="M40" s="54"/>
      <c r="N40" s="54"/>
      <c r="O40" s="54"/>
      <c r="P40" s="128"/>
    </row>
    <row r="41" spans="1:16" ht="12" customHeight="1" x14ac:dyDescent="0.2">
      <c r="A41" s="129"/>
      <c r="B41" s="60"/>
      <c r="C41" s="52"/>
      <c r="D41" s="52"/>
      <c r="E41" s="52"/>
      <c r="F41" s="53" t="s">
        <v>4</v>
      </c>
      <c r="G41" s="54"/>
      <c r="H41" s="54"/>
      <c r="I41" s="54"/>
      <c r="J41" s="54"/>
      <c r="K41" s="54"/>
      <c r="L41" s="54"/>
      <c r="M41" s="54"/>
      <c r="N41" s="54"/>
      <c r="O41" s="54"/>
      <c r="P41" s="128"/>
    </row>
    <row r="42" spans="1:16" ht="12" customHeight="1" x14ac:dyDescent="0.2">
      <c r="A42" s="134"/>
      <c r="B42" s="60"/>
      <c r="C42" s="52"/>
      <c r="D42" s="52"/>
      <c r="E42" s="52" t="s">
        <v>8</v>
      </c>
      <c r="F42" s="53"/>
      <c r="G42" s="54">
        <f t="shared" ref="G42:P42" si="7">SUM(G40:G41)</f>
        <v>0</v>
      </c>
      <c r="H42" s="54">
        <f t="shared" si="7"/>
        <v>0</v>
      </c>
      <c r="I42" s="54">
        <f t="shared" si="7"/>
        <v>0</v>
      </c>
      <c r="J42" s="54">
        <f t="shared" si="7"/>
        <v>0</v>
      </c>
      <c r="K42" s="54">
        <f t="shared" si="7"/>
        <v>0</v>
      </c>
      <c r="L42" s="54">
        <f t="shared" si="7"/>
        <v>0</v>
      </c>
      <c r="M42" s="54">
        <f t="shared" si="7"/>
        <v>0</v>
      </c>
      <c r="N42" s="54">
        <f t="shared" si="7"/>
        <v>0</v>
      </c>
      <c r="O42" s="54">
        <f t="shared" si="7"/>
        <v>0</v>
      </c>
      <c r="P42" s="128">
        <f t="shared" si="7"/>
        <v>0</v>
      </c>
    </row>
    <row r="43" spans="1:16" ht="12" customHeight="1" x14ac:dyDescent="0.2">
      <c r="A43" s="134"/>
      <c r="B43" s="60"/>
      <c r="C43" s="52"/>
      <c r="D43" s="52" t="s">
        <v>34</v>
      </c>
      <c r="E43" s="52"/>
      <c r="F43" s="53"/>
      <c r="G43" s="54">
        <f t="shared" ref="G43:P43" si="8">G38+G42</f>
        <v>0</v>
      </c>
      <c r="H43" s="54">
        <f t="shared" si="8"/>
        <v>0</v>
      </c>
      <c r="I43" s="54">
        <f t="shared" si="8"/>
        <v>0</v>
      </c>
      <c r="J43" s="54">
        <f t="shared" si="8"/>
        <v>0</v>
      </c>
      <c r="K43" s="54">
        <f t="shared" si="8"/>
        <v>0</v>
      </c>
      <c r="L43" s="54">
        <f t="shared" si="8"/>
        <v>0</v>
      </c>
      <c r="M43" s="54">
        <f t="shared" si="8"/>
        <v>0</v>
      </c>
      <c r="N43" s="54">
        <f t="shared" si="8"/>
        <v>0</v>
      </c>
      <c r="O43" s="54">
        <f t="shared" si="8"/>
        <v>0</v>
      </c>
      <c r="P43" s="128">
        <f t="shared" si="8"/>
        <v>0</v>
      </c>
    </row>
    <row r="44" spans="1:16" ht="12" customHeight="1" x14ac:dyDescent="0.2">
      <c r="A44" s="135"/>
      <c r="B44" s="55"/>
      <c r="C44" s="56" t="s">
        <v>80</v>
      </c>
      <c r="D44" s="56"/>
      <c r="E44" s="56"/>
      <c r="F44" s="57"/>
      <c r="G44" s="58">
        <f t="shared" ref="G44:P44" si="9">G33+G43</f>
        <v>117290.79992180614</v>
      </c>
      <c r="H44" s="58">
        <f t="shared" si="9"/>
        <v>58068.750009254567</v>
      </c>
      <c r="I44" s="58">
        <f t="shared" si="9"/>
        <v>28052.549958577063</v>
      </c>
      <c r="J44" s="58">
        <f t="shared" si="9"/>
        <v>0</v>
      </c>
      <c r="K44" s="58">
        <f t="shared" si="9"/>
        <v>31169.499953974515</v>
      </c>
      <c r="L44" s="58">
        <f t="shared" si="9"/>
        <v>0</v>
      </c>
      <c r="M44" s="58">
        <f t="shared" si="9"/>
        <v>0</v>
      </c>
      <c r="N44" s="58">
        <f t="shared" si="9"/>
        <v>0</v>
      </c>
      <c r="O44" s="58">
        <f t="shared" si="9"/>
        <v>0</v>
      </c>
      <c r="P44" s="136">
        <f t="shared" si="9"/>
        <v>0</v>
      </c>
    </row>
    <row r="45" spans="1:16" ht="12" customHeight="1" x14ac:dyDescent="0.2">
      <c r="A45" s="137"/>
      <c r="B45" s="60"/>
      <c r="C45" s="209" t="s">
        <v>12</v>
      </c>
      <c r="D45" s="209"/>
      <c r="E45" s="209"/>
      <c r="F45" s="210"/>
      <c r="G45" s="54"/>
      <c r="H45" s="54"/>
      <c r="I45" s="54"/>
      <c r="J45" s="54"/>
      <c r="K45" s="54"/>
      <c r="L45" s="54"/>
      <c r="M45" s="54"/>
      <c r="N45" s="54"/>
      <c r="O45" s="54"/>
      <c r="P45" s="128"/>
    </row>
    <row r="46" spans="1:16" ht="12" customHeight="1" x14ac:dyDescent="0.2">
      <c r="A46" s="129"/>
      <c r="B46" s="60"/>
      <c r="C46" s="52"/>
      <c r="D46" s="52" t="s">
        <v>3</v>
      </c>
      <c r="E46" s="52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128"/>
    </row>
    <row r="47" spans="1:16" ht="12" customHeight="1" x14ac:dyDescent="0.2">
      <c r="A47" s="129"/>
      <c r="B47" s="60"/>
      <c r="C47" s="52"/>
      <c r="D47" s="52"/>
      <c r="E47" s="52" t="s">
        <v>10</v>
      </c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128"/>
    </row>
    <row r="48" spans="1:16" ht="12" customHeight="1" x14ac:dyDescent="0.2">
      <c r="A48" s="129"/>
      <c r="B48" s="60"/>
      <c r="C48" s="52"/>
      <c r="D48" s="52"/>
      <c r="E48" s="52" t="s">
        <v>11</v>
      </c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128"/>
    </row>
    <row r="49" spans="1:16" ht="12" customHeight="1" x14ac:dyDescent="0.2">
      <c r="A49" s="130" t="s">
        <v>149</v>
      </c>
      <c r="B49" s="60"/>
      <c r="C49" s="52"/>
      <c r="D49" s="52"/>
      <c r="E49" s="52" t="s">
        <v>37</v>
      </c>
      <c r="F49" s="53"/>
      <c r="G49" s="131">
        <f>SUMIF(Worksheet!$B$85:$B$103,$A49,Worksheet!I$85:I$103)</f>
        <v>0</v>
      </c>
      <c r="H49" s="132">
        <f>G49-SUM(I49:P49)</f>
        <v>0</v>
      </c>
      <c r="I49" s="131">
        <f>SUMIF(Worksheet!$B$85:$B$103,$A49,Worksheet!M$85:M$103)</f>
        <v>0</v>
      </c>
      <c r="J49" s="54"/>
      <c r="K49" s="131">
        <f>SUMIF(Worksheet!$B$85:$B$103,$A49,Worksheet!N$85:N$103)</f>
        <v>0</v>
      </c>
      <c r="L49" s="54"/>
      <c r="M49" s="131"/>
      <c r="N49" s="131">
        <f>SUMIF(Worksheet!$B$85:$B$103,$A49,Worksheet!O$85:O$103)</f>
        <v>0</v>
      </c>
      <c r="O49" s="131">
        <f>SUMIF(Worksheet!$B$85:$B$103,$A49,Worksheet!P$85:P$103)</f>
        <v>0</v>
      </c>
      <c r="P49" s="133">
        <f>SUMIF(Worksheet!$B$85:$B$103,$A49,Worksheet!Q$85:Q$103)</f>
        <v>0</v>
      </c>
    </row>
    <row r="50" spans="1:16" ht="12" customHeight="1" x14ac:dyDescent="0.2">
      <c r="A50" s="130" t="s">
        <v>150</v>
      </c>
      <c r="B50" s="60"/>
      <c r="C50" s="52"/>
      <c r="D50" s="52"/>
      <c r="E50" s="52" t="s">
        <v>4</v>
      </c>
      <c r="F50" s="53"/>
      <c r="G50" s="131">
        <f>SUMIF(Worksheet!$B$85:$B$103,$A50,Worksheet!I$85:I$103)</f>
        <v>0</v>
      </c>
      <c r="H50" s="54"/>
      <c r="I50" s="131">
        <f>SUMIF(Worksheet!$B$85:$B$103,$A50,Worksheet!M$85:M$103)</f>
        <v>0</v>
      </c>
      <c r="J50" s="54"/>
      <c r="K50" s="131">
        <f>SUMIF(Worksheet!$B$85:$B$103,$A50,Worksheet!N$85:N$103)</f>
        <v>0</v>
      </c>
      <c r="L50" s="54"/>
      <c r="M50" s="131"/>
      <c r="N50" s="131">
        <f>SUMIF(Worksheet!$B$85:$B$103,$A50,Worksheet!O$85:O$103)</f>
        <v>0</v>
      </c>
      <c r="O50" s="131">
        <f>SUMIF(Worksheet!$B$85:$B$103,$A50,Worksheet!P$85:P$103)</f>
        <v>0</v>
      </c>
      <c r="P50" s="133">
        <f>SUMIF(Worksheet!$B$85:$B$103,$A50,Worksheet!Q$85:Q$103)</f>
        <v>0</v>
      </c>
    </row>
    <row r="51" spans="1:16" ht="12" customHeight="1" x14ac:dyDescent="0.2">
      <c r="A51" s="134"/>
      <c r="B51" s="60"/>
      <c r="C51" s="52"/>
      <c r="D51" s="52" t="s">
        <v>7</v>
      </c>
      <c r="E51" s="52"/>
      <c r="F51" s="53"/>
      <c r="G51" s="54">
        <f t="shared" ref="G51:P51" si="10">SUM(G47:G50)</f>
        <v>0</v>
      </c>
      <c r="H51" s="54">
        <f t="shared" si="10"/>
        <v>0</v>
      </c>
      <c r="I51" s="54">
        <f t="shared" si="10"/>
        <v>0</v>
      </c>
      <c r="J51" s="54">
        <f t="shared" si="10"/>
        <v>0</v>
      </c>
      <c r="K51" s="54">
        <f t="shared" si="10"/>
        <v>0</v>
      </c>
      <c r="L51" s="54">
        <f t="shared" si="10"/>
        <v>0</v>
      </c>
      <c r="M51" s="54">
        <f t="shared" si="10"/>
        <v>0</v>
      </c>
      <c r="N51" s="54">
        <f t="shared" si="10"/>
        <v>0</v>
      </c>
      <c r="O51" s="54">
        <f t="shared" si="10"/>
        <v>0</v>
      </c>
      <c r="P51" s="128">
        <f t="shared" si="10"/>
        <v>0</v>
      </c>
    </row>
    <row r="52" spans="1:16" ht="12" customHeight="1" x14ac:dyDescent="0.2">
      <c r="A52" s="129"/>
      <c r="B52" s="60"/>
      <c r="C52" s="52"/>
      <c r="D52" s="52" t="s">
        <v>5</v>
      </c>
      <c r="E52" s="52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128"/>
    </row>
    <row r="53" spans="1:16" ht="12" customHeight="1" x14ac:dyDescent="0.2">
      <c r="A53" s="129"/>
      <c r="B53" s="60"/>
      <c r="C53" s="52"/>
      <c r="D53" s="52"/>
      <c r="E53" s="52" t="s">
        <v>10</v>
      </c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128"/>
    </row>
    <row r="54" spans="1:16" ht="12" customHeight="1" x14ac:dyDescent="0.2">
      <c r="A54" s="129"/>
      <c r="B54" s="60"/>
      <c r="C54" s="52"/>
      <c r="D54" s="52"/>
      <c r="E54" s="52" t="s">
        <v>11</v>
      </c>
      <c r="F54" s="53"/>
      <c r="G54" s="54"/>
      <c r="H54" s="54"/>
      <c r="I54" s="54"/>
      <c r="J54" s="54"/>
      <c r="K54" s="54"/>
      <c r="L54" s="54"/>
      <c r="M54" s="54"/>
      <c r="N54" s="54"/>
      <c r="O54" s="54"/>
      <c r="P54" s="128"/>
    </row>
    <row r="55" spans="1:16" ht="12" customHeight="1" x14ac:dyDescent="0.2">
      <c r="A55" s="129" t="s">
        <v>151</v>
      </c>
      <c r="B55" s="60"/>
      <c r="C55" s="52"/>
      <c r="D55" s="52"/>
      <c r="E55" s="52" t="s">
        <v>37</v>
      </c>
      <c r="F55" s="53"/>
      <c r="G55" s="131">
        <f>SUMIF(Worksheet!$B$85:$B$103,$A55,Worksheet!I$85:I$103)</f>
        <v>0</v>
      </c>
      <c r="H55" s="132">
        <f>G55-SUM(I55:P55)</f>
        <v>0</v>
      </c>
      <c r="I55" s="131">
        <f>SUMIF(Worksheet!$B$85:$B$103,$A55,Worksheet!M$85:M$103)</f>
        <v>0</v>
      </c>
      <c r="J55" s="54"/>
      <c r="K55" s="131">
        <f>SUMIF(Worksheet!$B$85:$B$103,$A55,Worksheet!N$85:N$103)</f>
        <v>0</v>
      </c>
      <c r="L55" s="54"/>
      <c r="M55" s="131"/>
      <c r="N55" s="131">
        <f>SUMIF(Worksheet!$B$85:$B$103,$A55,Worksheet!O$85:O$103)</f>
        <v>0</v>
      </c>
      <c r="O55" s="131">
        <f>SUMIF(Worksheet!$B$85:$B$103,$A55,Worksheet!P$85:P$103)</f>
        <v>0</v>
      </c>
      <c r="P55" s="133">
        <f>SUMIF(Worksheet!$B$85:$B$103,$A55,Worksheet!Q$85:Q$103)</f>
        <v>0</v>
      </c>
    </row>
    <row r="56" spans="1:16" ht="12" customHeight="1" x14ac:dyDescent="0.2">
      <c r="A56" s="129" t="s">
        <v>152</v>
      </c>
      <c r="B56" s="60"/>
      <c r="C56" s="52"/>
      <c r="D56" s="52"/>
      <c r="E56" s="52" t="s">
        <v>4</v>
      </c>
      <c r="F56" s="53"/>
      <c r="G56" s="131">
        <f>SUMIF(Worksheet!$B$85:$B$103,$A56,Worksheet!I$85:I$103)</f>
        <v>6173.200078193855</v>
      </c>
      <c r="H56" s="132">
        <f>G56-SUM(I56:P56)</f>
        <v>3056.2500412370764</v>
      </c>
      <c r="I56" s="131">
        <f>SUMIF(Worksheet!$B$85:$B$103,$A56,Worksheet!M$85:M$103)</f>
        <v>1476.4500175058424</v>
      </c>
      <c r="J56" s="54"/>
      <c r="K56" s="131">
        <f>SUMIF(Worksheet!$B$85:$B$103,$A56,Worksheet!N$85:N$103)</f>
        <v>1640.5000194509362</v>
      </c>
      <c r="L56" s="54"/>
      <c r="M56" s="131"/>
      <c r="N56" s="131">
        <f>SUMIF(Worksheet!$B$85:$B$103,$A56,Worksheet!O$85:O$103)</f>
        <v>0</v>
      </c>
      <c r="O56" s="131">
        <f>SUMIF(Worksheet!$B$85:$B$103,$A56,Worksheet!P$85:P$103)</f>
        <v>0</v>
      </c>
      <c r="P56" s="133">
        <f>SUMIF(Worksheet!$B$85:$B$103,$A56,Worksheet!Q$85:Q$103)</f>
        <v>0</v>
      </c>
    </row>
    <row r="57" spans="1:16" ht="12" customHeight="1" x14ac:dyDescent="0.2">
      <c r="A57" s="134"/>
      <c r="B57" s="60"/>
      <c r="C57" s="52"/>
      <c r="D57" s="52" t="s">
        <v>8</v>
      </c>
      <c r="E57" s="52"/>
      <c r="F57" s="53"/>
      <c r="G57" s="54">
        <f t="shared" ref="G57:P57" si="11">SUM(G53:G56)</f>
        <v>6173.200078193855</v>
      </c>
      <c r="H57" s="54">
        <f t="shared" si="11"/>
        <v>3056.2500412370764</v>
      </c>
      <c r="I57" s="54">
        <f t="shared" si="11"/>
        <v>1476.4500175058424</v>
      </c>
      <c r="J57" s="54">
        <f t="shared" si="11"/>
        <v>0</v>
      </c>
      <c r="K57" s="54">
        <f t="shared" si="11"/>
        <v>1640.5000194509362</v>
      </c>
      <c r="L57" s="54">
        <f t="shared" si="11"/>
        <v>0</v>
      </c>
      <c r="M57" s="54">
        <f t="shared" si="11"/>
        <v>0</v>
      </c>
      <c r="N57" s="54">
        <f t="shared" si="11"/>
        <v>0</v>
      </c>
      <c r="O57" s="54">
        <f t="shared" si="11"/>
        <v>0</v>
      </c>
      <c r="P57" s="128">
        <f t="shared" si="11"/>
        <v>0</v>
      </c>
    </row>
    <row r="58" spans="1:16" ht="12" customHeight="1" x14ac:dyDescent="0.2">
      <c r="A58" s="135"/>
      <c r="B58" s="55"/>
      <c r="C58" s="56" t="s">
        <v>13</v>
      </c>
      <c r="D58" s="56"/>
      <c r="E58" s="56"/>
      <c r="F58" s="57"/>
      <c r="G58" s="58">
        <f t="shared" ref="G58:P58" si="12">G57+G51</f>
        <v>6173.200078193855</v>
      </c>
      <c r="H58" s="58">
        <f t="shared" si="12"/>
        <v>3056.2500412370764</v>
      </c>
      <c r="I58" s="58">
        <f t="shared" si="12"/>
        <v>1476.4500175058424</v>
      </c>
      <c r="J58" s="58">
        <f t="shared" si="12"/>
        <v>0</v>
      </c>
      <c r="K58" s="58">
        <f t="shared" si="12"/>
        <v>1640.5000194509362</v>
      </c>
      <c r="L58" s="58">
        <f t="shared" si="12"/>
        <v>0</v>
      </c>
      <c r="M58" s="58">
        <f t="shared" si="12"/>
        <v>0</v>
      </c>
      <c r="N58" s="58">
        <f t="shared" si="12"/>
        <v>0</v>
      </c>
      <c r="O58" s="58">
        <f t="shared" si="12"/>
        <v>0</v>
      </c>
      <c r="P58" s="136">
        <f t="shared" si="12"/>
        <v>0</v>
      </c>
    </row>
    <row r="59" spans="1:16" ht="22.5" customHeight="1" x14ac:dyDescent="0.25">
      <c r="A59" s="138"/>
      <c r="B59" s="117" t="str">
        <f>"Total "&amp;B3</f>
        <v>Total Work Plan 2</v>
      </c>
      <c r="C59" s="105"/>
      <c r="D59" s="105"/>
      <c r="E59" s="105"/>
      <c r="F59" s="106"/>
      <c r="G59" s="107">
        <f t="shared" ref="G59:P59" si="13">G22+G44+G58</f>
        <v>123464</v>
      </c>
      <c r="H59" s="107">
        <f t="shared" si="13"/>
        <v>61125.000050491646</v>
      </c>
      <c r="I59" s="107">
        <f t="shared" si="13"/>
        <v>29528.999976082905</v>
      </c>
      <c r="J59" s="107">
        <f t="shared" si="13"/>
        <v>0</v>
      </c>
      <c r="K59" s="107">
        <f t="shared" si="13"/>
        <v>32809.999973425452</v>
      </c>
      <c r="L59" s="107">
        <f t="shared" si="13"/>
        <v>0</v>
      </c>
      <c r="M59" s="107">
        <f t="shared" si="13"/>
        <v>0</v>
      </c>
      <c r="N59" s="107">
        <f t="shared" si="13"/>
        <v>0</v>
      </c>
      <c r="O59" s="107">
        <f t="shared" si="13"/>
        <v>0</v>
      </c>
      <c r="P59" s="139">
        <f t="shared" si="13"/>
        <v>0</v>
      </c>
    </row>
    <row r="60" spans="1:16" x14ac:dyDescent="0.2">
      <c r="A60" s="94"/>
    </row>
    <row r="61" spans="1:16" x14ac:dyDescent="0.2">
      <c r="A61" s="94"/>
      <c r="B61" s="48" t="s">
        <v>153</v>
      </c>
      <c r="G61" s="94">
        <f>Worksheet!J81</f>
        <v>123464.00011000001</v>
      </c>
      <c r="H61" s="94">
        <f>Worksheet!L81</f>
        <v>61125</v>
      </c>
      <c r="I61" s="94">
        <f>Worksheet!M81</f>
        <v>29529</v>
      </c>
      <c r="K61" s="94">
        <f>Worksheet!N81</f>
        <v>32810</v>
      </c>
      <c r="N61" s="94">
        <f>Worksheet!O81</f>
        <v>0</v>
      </c>
      <c r="O61" s="94">
        <f>Worksheet!P81</f>
        <v>0</v>
      </c>
      <c r="P61" s="77">
        <f>Worksheet!Q81</f>
        <v>0</v>
      </c>
    </row>
    <row r="62" spans="1:16" x14ac:dyDescent="0.2">
      <c r="A62" s="94"/>
      <c r="B62" s="48" t="s">
        <v>132</v>
      </c>
      <c r="F62" s="232">
        <f>SUM(G62:P62)</f>
        <v>-1.1000000449712388E-4</v>
      </c>
      <c r="G62" s="94">
        <f>G59-G61</f>
        <v>-1.1000000813510269E-4</v>
      </c>
      <c r="H62" s="94">
        <f t="shared" ref="H62:P62" si="14">H59-H61</f>
        <v>5.0491646106820554E-5</v>
      </c>
      <c r="I62" s="94">
        <f t="shared" si="14"/>
        <v>-2.3917094949865714E-5</v>
      </c>
      <c r="J62" s="94">
        <f t="shared" si="14"/>
        <v>0</v>
      </c>
      <c r="K62" s="94">
        <f t="shared" si="14"/>
        <v>-2.6574547518976033E-5</v>
      </c>
      <c r="L62" s="94">
        <f t="shared" si="14"/>
        <v>0</v>
      </c>
      <c r="M62" s="94">
        <f t="shared" si="14"/>
        <v>0</v>
      </c>
      <c r="N62" s="94">
        <f t="shared" si="14"/>
        <v>0</v>
      </c>
      <c r="O62" s="94">
        <f t="shared" si="14"/>
        <v>0</v>
      </c>
      <c r="P62" s="77">
        <f t="shared" si="14"/>
        <v>0</v>
      </c>
    </row>
  </sheetData>
  <sheetProtection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25" right="0.25" top="0.75" bottom="0.25" header="0.5" footer="0"/>
  <pageSetup scale="63" orientation="portrait" r:id="rId1"/>
  <headerFooter alignWithMargins="0">
    <oddHeader>&amp;REnclosure 2</oddHeader>
    <oddFooter>&amp;LPage 2&amp;Rver 3 (12/2007)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pageSetUpPr fitToPage="1"/>
  </sheetPr>
  <dimension ref="A1:S62"/>
  <sheetViews>
    <sheetView topLeftCell="A48" zoomScale="80" zoomScaleNormal="80" workbookViewId="0">
      <selection activeCell="F62" activeCellId="3" sqref="A19:A20 A30:A31 A55:A56 F62"/>
    </sheetView>
  </sheetViews>
  <sheetFormatPr defaultColWidth="0" defaultRowHeight="15" zeroHeight="1" x14ac:dyDescent="0.2"/>
  <cols>
    <col min="1" max="1" width="9.28515625" style="48" customWidth="1"/>
    <col min="2" max="2" width="5" style="48" customWidth="1"/>
    <col min="3" max="3" width="7.85546875" style="48" customWidth="1"/>
    <col min="4" max="4" width="8.85546875" style="48" customWidth="1"/>
    <col min="5" max="5" width="3.7109375" style="48" customWidth="1"/>
    <col min="6" max="6" width="36.28515625" style="48" customWidth="1"/>
    <col min="7" max="7" width="18.42578125" style="48" customWidth="1"/>
    <col min="8" max="8" width="13.42578125" style="48" customWidth="1"/>
    <col min="9" max="9" width="17.5703125" style="48" customWidth="1"/>
    <col min="10" max="10" width="17.140625" style="48" customWidth="1"/>
    <col min="11" max="11" width="12.7109375" style="48" customWidth="1"/>
    <col min="12" max="12" width="14.140625" style="48" customWidth="1"/>
    <col min="13" max="13" width="17.85546875" style="48" customWidth="1"/>
    <col min="14" max="14" width="16.5703125" style="48" customWidth="1"/>
    <col min="15" max="15" width="14" style="48" customWidth="1"/>
    <col min="16" max="16" width="12.7109375" style="48" customWidth="1"/>
    <col min="17" max="19" width="12.7109375" hidden="1" customWidth="1"/>
  </cols>
  <sheetData>
    <row r="1" spans="1:19" ht="47.25" customHeight="1" x14ac:dyDescent="0.25">
      <c r="A1" s="231">
        <f>F62</f>
        <v>-2.0000043150503188E-5</v>
      </c>
      <c r="B1" s="173" t="str">
        <f>'CSS Pgm 1'!B1:$P$1</f>
        <v>Annual Mental Health Services Act Revenue and Expenditure Report for Fiscal Year 2007-08
Community Services and Supports (CSS) Programs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9" ht="27" customHeight="1" x14ac:dyDescent="0.25">
      <c r="B2" s="47" t="s">
        <v>28</v>
      </c>
      <c r="C2" s="47"/>
      <c r="D2" s="47"/>
      <c r="E2" s="226" t="str">
        <f>'CSS Pgm 1'!E2</f>
        <v>Santa Cruz</v>
      </c>
      <c r="F2" s="226"/>
      <c r="G2" s="74"/>
      <c r="H2" s="74"/>
      <c r="I2" s="74"/>
      <c r="J2" s="74"/>
      <c r="K2" s="74"/>
      <c r="L2" s="74"/>
      <c r="M2" s="74"/>
      <c r="N2" s="74"/>
      <c r="O2" s="49" t="s">
        <v>29</v>
      </c>
      <c r="P2" s="78" t="str">
        <f>Worksheet!$N$2</f>
        <v>10/7/09</v>
      </c>
    </row>
    <row r="3" spans="1:19" ht="21" customHeight="1" x14ac:dyDescent="0.25">
      <c r="B3" s="47" t="s">
        <v>221</v>
      </c>
      <c r="C3" s="47"/>
      <c r="D3" s="47"/>
      <c r="E3" s="224" t="str">
        <f>Worksheet!D111</f>
        <v>Child Welfare Services Gate</v>
      </c>
      <c r="F3" s="225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ht="19.5" customHeight="1" x14ac:dyDescent="0.2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s="3" customFormat="1" ht="30" customHeight="1" x14ac:dyDescent="0.25">
      <c r="A5" s="122"/>
      <c r="B5" s="174" t="s">
        <v>30</v>
      </c>
      <c r="C5" s="175"/>
      <c r="D5" s="175"/>
      <c r="E5" s="175"/>
      <c r="F5" s="176"/>
      <c r="G5" s="150" t="s">
        <v>19</v>
      </c>
      <c r="H5" s="151" t="s">
        <v>20</v>
      </c>
      <c r="I5" s="151" t="s">
        <v>27</v>
      </c>
      <c r="J5" s="151" t="s">
        <v>21</v>
      </c>
      <c r="K5" s="151" t="s">
        <v>22</v>
      </c>
      <c r="L5" s="151" t="s">
        <v>23</v>
      </c>
      <c r="M5" s="151" t="s">
        <v>24</v>
      </c>
      <c r="N5" s="151" t="s">
        <v>25</v>
      </c>
      <c r="O5" s="151" t="s">
        <v>26</v>
      </c>
      <c r="P5" s="151" t="s">
        <v>63</v>
      </c>
    </row>
    <row r="6" spans="1:19" s="3" customFormat="1" ht="41.25" customHeight="1" x14ac:dyDescent="0.25">
      <c r="A6" s="122"/>
      <c r="B6" s="177"/>
      <c r="C6" s="178"/>
      <c r="D6" s="178"/>
      <c r="E6" s="178"/>
      <c r="F6" s="179"/>
      <c r="G6" s="171" t="s">
        <v>6</v>
      </c>
      <c r="H6" s="201" t="s">
        <v>36</v>
      </c>
      <c r="I6" s="202"/>
      <c r="J6" s="202"/>
      <c r="K6" s="202"/>
      <c r="L6" s="202"/>
      <c r="M6" s="202"/>
      <c r="N6" s="202"/>
      <c r="O6" s="202"/>
      <c r="P6" s="203"/>
    </row>
    <row r="7" spans="1:19" s="1" customFormat="1" ht="42" customHeight="1" x14ac:dyDescent="0.2">
      <c r="A7" s="124"/>
      <c r="B7" s="180"/>
      <c r="C7" s="181"/>
      <c r="D7" s="181"/>
      <c r="E7" s="181"/>
      <c r="F7" s="182"/>
      <c r="G7" s="172"/>
      <c r="H7" s="119" t="s">
        <v>0</v>
      </c>
      <c r="I7" s="119" t="s">
        <v>35</v>
      </c>
      <c r="J7" s="119" t="s">
        <v>18</v>
      </c>
      <c r="K7" s="119" t="s">
        <v>1</v>
      </c>
      <c r="L7" s="119" t="s">
        <v>15</v>
      </c>
      <c r="M7" s="119" t="s">
        <v>16</v>
      </c>
      <c r="N7" s="119" t="s">
        <v>2</v>
      </c>
      <c r="O7" s="119" t="s">
        <v>17</v>
      </c>
      <c r="P7" s="97" t="s">
        <v>62</v>
      </c>
      <c r="Q7" s="2"/>
      <c r="R7" s="2"/>
      <c r="S7" s="2"/>
    </row>
    <row r="8" spans="1:19" ht="27.75" customHeight="1" x14ac:dyDescent="0.25">
      <c r="A8" s="125"/>
      <c r="B8" s="152" t="str">
        <f>B3</f>
        <v>Work Plan 3</v>
      </c>
      <c r="C8" s="87"/>
      <c r="D8" s="87"/>
      <c r="E8" s="87"/>
      <c r="F8" s="88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9" ht="12" customHeight="1" x14ac:dyDescent="0.2">
      <c r="A9" s="127"/>
      <c r="B9" s="60"/>
      <c r="C9" s="211" t="s">
        <v>85</v>
      </c>
      <c r="D9" s="211"/>
      <c r="E9" s="211"/>
      <c r="F9" s="212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9" ht="12" customHeight="1" x14ac:dyDescent="0.2">
      <c r="A10" s="129"/>
      <c r="B10" s="60"/>
      <c r="C10" s="52"/>
      <c r="D10" s="52" t="s">
        <v>3</v>
      </c>
      <c r="E10" s="52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9" ht="12" customHeight="1" x14ac:dyDescent="0.2">
      <c r="A11" s="129"/>
      <c r="B11" s="60"/>
      <c r="C11" s="52"/>
      <c r="D11" s="52"/>
      <c r="E11" s="52" t="s">
        <v>10</v>
      </c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9" ht="12" customHeight="1" x14ac:dyDescent="0.2">
      <c r="A12" s="129"/>
      <c r="B12" s="60"/>
      <c r="C12" s="52"/>
      <c r="D12" s="52"/>
      <c r="E12" s="52" t="s">
        <v>11</v>
      </c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9" ht="12" customHeight="1" x14ac:dyDescent="0.2">
      <c r="A13" s="130" t="s">
        <v>138</v>
      </c>
      <c r="B13" s="60"/>
      <c r="C13" s="52"/>
      <c r="D13" s="52"/>
      <c r="E13" s="52" t="s">
        <v>37</v>
      </c>
      <c r="F13" s="53"/>
      <c r="G13" s="131">
        <f>SUMIF(Worksheet!$B$121:$B$139,$A13,Worksheet!I$121:I$139)</f>
        <v>0</v>
      </c>
      <c r="H13" s="132">
        <f>G13-SUM(I13:P13)</f>
        <v>0</v>
      </c>
      <c r="I13" s="131">
        <f>SUMIF(Worksheet!$B$121:$B$139,$A13,Worksheet!M$121:M$139)</f>
        <v>0</v>
      </c>
      <c r="J13" s="54"/>
      <c r="K13" s="131">
        <f>SUMIF(Worksheet!$B$121:$B$139,$A13,Worksheet!N$121:N$139)</f>
        <v>0</v>
      </c>
      <c r="L13" s="54"/>
      <c r="M13" s="131"/>
      <c r="N13" s="131">
        <f>SUMIF(Worksheet!$B$121:$B$139,$A13,Worksheet!O$121:O$139)</f>
        <v>0</v>
      </c>
      <c r="O13" s="131">
        <f>SUMIF(Worksheet!$B$121:$B$139,$A13,Worksheet!P$121:P$139)</f>
        <v>0</v>
      </c>
      <c r="P13" s="131">
        <f>SUMIF(Worksheet!$B$121:$B$139,$A13,Worksheet!Q$121:Q$139)</f>
        <v>0</v>
      </c>
    </row>
    <row r="14" spans="1:19" ht="12" customHeight="1" x14ac:dyDescent="0.2">
      <c r="A14" s="130" t="s">
        <v>142</v>
      </c>
      <c r="B14" s="60"/>
      <c r="C14" s="52"/>
      <c r="D14" s="52"/>
      <c r="E14" s="52" t="s">
        <v>4</v>
      </c>
      <c r="F14" s="53"/>
      <c r="G14" s="131">
        <f>SUMIF(Worksheet!$B$121:$B$139,$A14,Worksheet!I$121:I$139)</f>
        <v>0</v>
      </c>
      <c r="H14" s="132">
        <f>G14-SUM(I14:P14)</f>
        <v>0</v>
      </c>
      <c r="I14" s="131">
        <f>SUMIF(Worksheet!$B$121:$B$139,$A14,Worksheet!M$121:M$139)</f>
        <v>0</v>
      </c>
      <c r="J14" s="54"/>
      <c r="K14" s="131">
        <f>SUMIF(Worksheet!$B$121:$B$139,$A14,Worksheet!N$121:N$139)</f>
        <v>0</v>
      </c>
      <c r="L14" s="54"/>
      <c r="M14" s="131"/>
      <c r="N14" s="131">
        <f>SUMIF(Worksheet!$B$121:$B$139,$A14,Worksheet!O$121:O$139)</f>
        <v>0</v>
      </c>
      <c r="O14" s="131">
        <f>SUMIF(Worksheet!$B$121:$B$139,$A14,Worksheet!P$121:P$139)</f>
        <v>0</v>
      </c>
      <c r="P14" s="131">
        <f>SUMIF(Worksheet!$B$121:$B$139,$A14,Worksheet!Q$121:Q$139)</f>
        <v>0</v>
      </c>
    </row>
    <row r="15" spans="1:19" ht="12" customHeight="1" x14ac:dyDescent="0.2">
      <c r="A15" s="134"/>
      <c r="B15" s="60"/>
      <c r="C15" s="52"/>
      <c r="D15" s="52" t="s">
        <v>7</v>
      </c>
      <c r="E15" s="52"/>
      <c r="F15" s="53"/>
      <c r="G15" s="54">
        <f>SUM(G11:G14)</f>
        <v>0</v>
      </c>
      <c r="H15" s="54">
        <f t="shared" ref="H15:P15" si="0">SUM(H11:H14)</f>
        <v>0</v>
      </c>
      <c r="I15" s="54">
        <f t="shared" si="0"/>
        <v>0</v>
      </c>
      <c r="J15" s="54">
        <f t="shared" si="0"/>
        <v>0</v>
      </c>
      <c r="K15" s="54">
        <f t="shared" si="0"/>
        <v>0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54">
        <f t="shared" si="0"/>
        <v>0</v>
      </c>
    </row>
    <row r="16" spans="1:19" ht="12" customHeight="1" x14ac:dyDescent="0.2">
      <c r="A16" s="129"/>
      <c r="B16" s="60"/>
      <c r="C16" s="52"/>
      <c r="D16" s="52" t="s">
        <v>5</v>
      </c>
      <c r="E16" s="52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12" customHeight="1" x14ac:dyDescent="0.2">
      <c r="A17" s="129"/>
      <c r="B17" s="60"/>
      <c r="C17" s="52"/>
      <c r="D17" s="52"/>
      <c r="E17" s="52" t="s">
        <v>10</v>
      </c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t="12" customHeight="1" x14ac:dyDescent="0.2">
      <c r="A18" s="129"/>
      <c r="B18" s="60"/>
      <c r="C18" s="52"/>
      <c r="D18" s="52"/>
      <c r="E18" s="52" t="s">
        <v>11</v>
      </c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t="12" customHeight="1" x14ac:dyDescent="0.2">
      <c r="A19" s="129" t="s">
        <v>143</v>
      </c>
      <c r="B19" s="60"/>
      <c r="C19" s="52"/>
      <c r="D19" s="52"/>
      <c r="E19" s="52" t="s">
        <v>37</v>
      </c>
      <c r="F19" s="53"/>
      <c r="G19" s="131">
        <f>SUMIF(Worksheet!$B$121:$B$139,$A19,Worksheet!I$121:I$139)</f>
        <v>0</v>
      </c>
      <c r="H19" s="132">
        <f>G19-SUM(I19:P19)</f>
        <v>0</v>
      </c>
      <c r="I19" s="131">
        <f>SUMIF(Worksheet!$B$121:$B$139,$A19,Worksheet!M$121:M$139)</f>
        <v>0</v>
      </c>
      <c r="J19" s="54"/>
      <c r="K19" s="131">
        <f>SUMIF(Worksheet!$B$121:$B$139,$A19,Worksheet!N$121:N$139)</f>
        <v>0</v>
      </c>
      <c r="L19" s="54"/>
      <c r="M19" s="131"/>
      <c r="N19" s="131">
        <f>SUMIF(Worksheet!$B$121:$B$139,$A19,Worksheet!O$121:O$139)</f>
        <v>0</v>
      </c>
      <c r="O19" s="131">
        <f>SUMIF(Worksheet!$B$121:$B$139,$A19,Worksheet!P$121:P$139)</f>
        <v>0</v>
      </c>
      <c r="P19" s="131">
        <f>SUMIF(Worksheet!$B$121:$B$139,$A19,Worksheet!Q$121:Q$139)</f>
        <v>0</v>
      </c>
    </row>
    <row r="20" spans="1:16" ht="12" customHeight="1" x14ac:dyDescent="0.2">
      <c r="A20" s="129" t="s">
        <v>144</v>
      </c>
      <c r="B20" s="60"/>
      <c r="C20" s="52"/>
      <c r="D20" s="52"/>
      <c r="E20" s="52" t="s">
        <v>4</v>
      </c>
      <c r="F20" s="53"/>
      <c r="G20" s="131">
        <f>SUMIF(Worksheet!$B$121:$B$139,$A20,Worksheet!I$121:I$139)</f>
        <v>0</v>
      </c>
      <c r="H20" s="132">
        <f>G20-SUM(I20:P20)</f>
        <v>0</v>
      </c>
      <c r="I20" s="131">
        <f>SUMIF(Worksheet!$B$121:$B$139,$A20,Worksheet!M$121:M$139)</f>
        <v>0</v>
      </c>
      <c r="J20" s="54"/>
      <c r="K20" s="131">
        <f>SUMIF(Worksheet!$B$121:$B$139,$A20,Worksheet!N$121:N$139)</f>
        <v>0</v>
      </c>
      <c r="L20" s="54"/>
      <c r="M20" s="131"/>
      <c r="N20" s="131">
        <f>SUMIF(Worksheet!$B$121:$B$139,$A20,Worksheet!O$121:O$139)</f>
        <v>0</v>
      </c>
      <c r="O20" s="131">
        <f>SUMIF(Worksheet!$B$121:$B$139,$A20,Worksheet!P$121:P$139)</f>
        <v>0</v>
      </c>
      <c r="P20" s="131">
        <f>SUMIF(Worksheet!$B$121:$B$139,$A20,Worksheet!Q$121:Q$139)</f>
        <v>0</v>
      </c>
    </row>
    <row r="21" spans="1:16" ht="12" customHeight="1" x14ac:dyDescent="0.2">
      <c r="A21" s="134"/>
      <c r="B21" s="60"/>
      <c r="C21" s="52"/>
      <c r="D21" s="52" t="s">
        <v>8</v>
      </c>
      <c r="E21" s="52"/>
      <c r="F21" s="53"/>
      <c r="G21" s="54">
        <f>SUM(G17:G20)</f>
        <v>0</v>
      </c>
      <c r="H21" s="54">
        <f t="shared" ref="H21:P21" si="1">SUM(H17:H20)</f>
        <v>0</v>
      </c>
      <c r="I21" s="54">
        <f t="shared" si="1"/>
        <v>0</v>
      </c>
      <c r="J21" s="54">
        <f t="shared" si="1"/>
        <v>0</v>
      </c>
      <c r="K21" s="54">
        <f t="shared" si="1"/>
        <v>0</v>
      </c>
      <c r="L21" s="54">
        <f t="shared" si="1"/>
        <v>0</v>
      </c>
      <c r="M21" s="54">
        <f t="shared" si="1"/>
        <v>0</v>
      </c>
      <c r="N21" s="54">
        <f t="shared" si="1"/>
        <v>0</v>
      </c>
      <c r="O21" s="54">
        <f t="shared" si="1"/>
        <v>0</v>
      </c>
      <c r="P21" s="54">
        <f t="shared" si="1"/>
        <v>0</v>
      </c>
    </row>
    <row r="22" spans="1:16" ht="12" customHeight="1" x14ac:dyDescent="0.2">
      <c r="A22" s="135"/>
      <c r="B22" s="55"/>
      <c r="C22" s="56" t="s">
        <v>9</v>
      </c>
      <c r="D22" s="56"/>
      <c r="E22" s="56"/>
      <c r="F22" s="57"/>
      <c r="G22" s="58">
        <f>G15+G21</f>
        <v>0</v>
      </c>
      <c r="H22" s="58">
        <f t="shared" ref="H22:P22" si="2">H15+H21</f>
        <v>0</v>
      </c>
      <c r="I22" s="58">
        <f t="shared" si="2"/>
        <v>0</v>
      </c>
      <c r="J22" s="58">
        <f t="shared" si="2"/>
        <v>0</v>
      </c>
      <c r="K22" s="58">
        <f t="shared" si="2"/>
        <v>0</v>
      </c>
      <c r="L22" s="58">
        <f t="shared" si="2"/>
        <v>0</v>
      </c>
      <c r="M22" s="58">
        <f t="shared" si="2"/>
        <v>0</v>
      </c>
      <c r="N22" s="58">
        <f t="shared" si="2"/>
        <v>0</v>
      </c>
      <c r="O22" s="58">
        <f t="shared" si="2"/>
        <v>0</v>
      </c>
      <c r="P22" s="58">
        <f t="shared" si="2"/>
        <v>0</v>
      </c>
    </row>
    <row r="23" spans="1:16" ht="12" customHeight="1" x14ac:dyDescent="0.2">
      <c r="A23" s="127"/>
      <c r="B23" s="60"/>
      <c r="C23" s="213" t="s">
        <v>79</v>
      </c>
      <c r="D23" s="213"/>
      <c r="E23" s="213"/>
      <c r="F23" s="21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t="12" customHeight="1" x14ac:dyDescent="0.2">
      <c r="A24" s="129"/>
      <c r="B24" s="60"/>
      <c r="C24" s="52"/>
      <c r="D24" s="52" t="s">
        <v>31</v>
      </c>
      <c r="E24" s="52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t="12" customHeight="1" x14ac:dyDescent="0.2">
      <c r="A25" s="129"/>
      <c r="B25" s="60"/>
      <c r="C25" s="52"/>
      <c r="D25" s="52"/>
      <c r="E25" s="52" t="s">
        <v>3</v>
      </c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t="12" customHeight="1" x14ac:dyDescent="0.2">
      <c r="A26" s="130" t="s">
        <v>145</v>
      </c>
      <c r="B26" s="60"/>
      <c r="C26" s="52"/>
      <c r="D26" s="52"/>
      <c r="E26" s="52"/>
      <c r="F26" s="53" t="s">
        <v>37</v>
      </c>
      <c r="G26" s="131">
        <f>SUMIF(Worksheet!$B$121:$B$139,$A26,Worksheet!I$121:I$139)</f>
        <v>336618.25</v>
      </c>
      <c r="H26" s="132">
        <f>G26-SUM(I26:P26)</f>
        <v>21214.450008901302</v>
      </c>
      <c r="I26" s="131">
        <f>SUMIF(Worksheet!$B$121:$B$139,$A26,Worksheet!M$121:M$139)</f>
        <v>149401.74999578358</v>
      </c>
      <c r="J26" s="54"/>
      <c r="K26" s="131">
        <f>SUMIF(Worksheet!$B$121:$B$139,$A26,Worksheet!N$121:N$139)</f>
        <v>166002.04999531512</v>
      </c>
      <c r="L26" s="54"/>
      <c r="M26" s="131"/>
      <c r="N26" s="131">
        <f>SUMIF(Worksheet!$B$121:$B$139,$A26,Worksheet!O$121:O$139)</f>
        <v>0</v>
      </c>
      <c r="O26" s="131">
        <f>SUMIF(Worksheet!$B$121:$B$139,$A26,Worksheet!P$121:P$139)</f>
        <v>0</v>
      </c>
      <c r="P26" s="131">
        <f>SUMIF(Worksheet!$B$121:$B$139,$A26,Worksheet!Q$121:Q$139)</f>
        <v>0</v>
      </c>
    </row>
    <row r="27" spans="1:16" ht="12" customHeight="1" x14ac:dyDescent="0.2">
      <c r="A27" s="130" t="s">
        <v>146</v>
      </c>
      <c r="B27" s="60"/>
      <c r="C27" s="52"/>
      <c r="D27" s="52"/>
      <c r="E27" s="52"/>
      <c r="F27" s="53" t="s">
        <v>4</v>
      </c>
      <c r="G27" s="131">
        <f>SUMIF(Worksheet!$B$121:$B$139,$A27,Worksheet!I$121:I$139)</f>
        <v>0</v>
      </c>
      <c r="H27" s="132">
        <f>G27-SUM(I27:P27)</f>
        <v>0</v>
      </c>
      <c r="I27" s="131">
        <f>SUMIF(Worksheet!$B$121:$B$139,$A27,Worksheet!M$121:M$139)</f>
        <v>0</v>
      </c>
      <c r="J27" s="54"/>
      <c r="K27" s="131">
        <f>SUMIF(Worksheet!$B$121:$B$139,$A27,Worksheet!N$121:N$139)</f>
        <v>0</v>
      </c>
      <c r="L27" s="54"/>
      <c r="M27" s="131"/>
      <c r="N27" s="131">
        <f>SUMIF(Worksheet!$B$121:$B$139,$A27,Worksheet!O$121:O$139)</f>
        <v>0</v>
      </c>
      <c r="O27" s="131">
        <f>SUMIF(Worksheet!$B$121:$B$139,$A27,Worksheet!P$121:P$139)</f>
        <v>0</v>
      </c>
      <c r="P27" s="131">
        <f>SUMIF(Worksheet!$B$121:$B$139,$A27,Worksheet!Q$121:Q$139)</f>
        <v>0</v>
      </c>
    </row>
    <row r="28" spans="1:16" ht="12" customHeight="1" x14ac:dyDescent="0.2">
      <c r="A28" s="134"/>
      <c r="B28" s="60"/>
      <c r="C28" s="52"/>
      <c r="D28" s="52"/>
      <c r="E28" s="52" t="s">
        <v>7</v>
      </c>
      <c r="F28" s="53"/>
      <c r="G28" s="54">
        <f>SUM(G26:G27)</f>
        <v>336618.25</v>
      </c>
      <c r="H28" s="54">
        <f t="shared" ref="H28:P28" si="3">SUM(H26:H27)</f>
        <v>21214.450008901302</v>
      </c>
      <c r="I28" s="54">
        <f t="shared" si="3"/>
        <v>149401.74999578358</v>
      </c>
      <c r="J28" s="54">
        <f t="shared" si="3"/>
        <v>0</v>
      </c>
      <c r="K28" s="54">
        <f t="shared" si="3"/>
        <v>166002.04999531512</v>
      </c>
      <c r="L28" s="54">
        <f t="shared" si="3"/>
        <v>0</v>
      </c>
      <c r="M28" s="54">
        <f t="shared" si="3"/>
        <v>0</v>
      </c>
      <c r="N28" s="54">
        <f t="shared" si="3"/>
        <v>0</v>
      </c>
      <c r="O28" s="54">
        <f t="shared" si="3"/>
        <v>0</v>
      </c>
      <c r="P28" s="54">
        <f t="shared" si="3"/>
        <v>0</v>
      </c>
    </row>
    <row r="29" spans="1:16" ht="12" customHeight="1" x14ac:dyDescent="0.2">
      <c r="A29" s="129"/>
      <c r="B29" s="60"/>
      <c r="C29" s="52"/>
      <c r="D29" s="52"/>
      <c r="E29" s="52" t="s">
        <v>5</v>
      </c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t="12" customHeight="1" x14ac:dyDescent="0.2">
      <c r="A30" s="129" t="s">
        <v>147</v>
      </c>
      <c r="B30" s="60"/>
      <c r="C30" s="52"/>
      <c r="D30" s="52"/>
      <c r="E30" s="52"/>
      <c r="F30" s="53" t="s">
        <v>37</v>
      </c>
      <c r="G30" s="131">
        <f>SUMIF(Worksheet!$B$121:$B$139,$A30,Worksheet!I$121:I$139)</f>
        <v>0</v>
      </c>
      <c r="H30" s="132">
        <f>G30-SUM(I30:P30)</f>
        <v>0</v>
      </c>
      <c r="I30" s="131">
        <f>SUMIF(Worksheet!$B$121:$B$139,$A30,Worksheet!M$121:M$139)</f>
        <v>0</v>
      </c>
      <c r="J30" s="54"/>
      <c r="K30" s="131">
        <f>SUMIF(Worksheet!$B$121:$B$139,$A30,Worksheet!N$121:N$139)</f>
        <v>0</v>
      </c>
      <c r="L30" s="54"/>
      <c r="M30" s="131"/>
      <c r="N30" s="131">
        <f>SUMIF(Worksheet!$B$121:$B$139,$A30,Worksheet!O$121:O$139)</f>
        <v>0</v>
      </c>
      <c r="O30" s="131">
        <f>SUMIF(Worksheet!$B$121:$B$139,$A30,Worksheet!P$121:P$139)</f>
        <v>0</v>
      </c>
      <c r="P30" s="131">
        <f>SUMIF(Worksheet!$B$121:$B$139,$A30,Worksheet!Q$121:Q$139)</f>
        <v>0</v>
      </c>
    </row>
    <row r="31" spans="1:16" ht="12" customHeight="1" x14ac:dyDescent="0.2">
      <c r="A31" s="129" t="s">
        <v>148</v>
      </c>
      <c r="B31" s="60"/>
      <c r="C31" s="52"/>
      <c r="D31" s="52"/>
      <c r="E31" s="52"/>
      <c r="F31" s="53" t="s">
        <v>4</v>
      </c>
      <c r="G31" s="131">
        <f>SUMIF(Worksheet!$B$121:$B$139,$A31,Worksheet!I$121:I$139)</f>
        <v>33143.599999999999</v>
      </c>
      <c r="H31" s="132">
        <f>G31-SUM(I31:P31)</f>
        <v>16862.500004666676</v>
      </c>
      <c r="I31" s="131">
        <f>SUMIF(Worksheet!$B$121:$B$139,$A31,Worksheet!M$121:M$139)</f>
        <v>7712.099997789468</v>
      </c>
      <c r="J31" s="54"/>
      <c r="K31" s="131">
        <f>SUMIF(Worksheet!$B$121:$B$139,$A31,Worksheet!N$121:N$139)</f>
        <v>8568.9999975438532</v>
      </c>
      <c r="L31" s="54"/>
      <c r="M31" s="131"/>
      <c r="N31" s="131">
        <f>SUMIF(Worksheet!$B$121:$B$139,$A31,Worksheet!O$121:O$139)</f>
        <v>0</v>
      </c>
      <c r="O31" s="131">
        <f>SUMIF(Worksheet!$B$121:$B$139,$A31,Worksheet!P$121:P$139)</f>
        <v>0</v>
      </c>
      <c r="P31" s="131">
        <f>SUMIF(Worksheet!$B$121:$B$139,$A31,Worksheet!Q$121:Q$139)</f>
        <v>0</v>
      </c>
    </row>
    <row r="32" spans="1:16" ht="12" customHeight="1" x14ac:dyDescent="0.2">
      <c r="A32" s="134"/>
      <c r="B32" s="60"/>
      <c r="C32" s="52"/>
      <c r="D32" s="52"/>
      <c r="E32" s="52" t="s">
        <v>8</v>
      </c>
      <c r="F32" s="53"/>
      <c r="G32" s="54">
        <f>SUM(G30:G31)</f>
        <v>33143.599999999999</v>
      </c>
      <c r="H32" s="54">
        <f t="shared" ref="H32:P32" si="4">SUM(H30:H31)</f>
        <v>16862.500004666676</v>
      </c>
      <c r="I32" s="54">
        <f t="shared" si="4"/>
        <v>7712.099997789468</v>
      </c>
      <c r="J32" s="54">
        <f t="shared" si="4"/>
        <v>0</v>
      </c>
      <c r="K32" s="54">
        <f t="shared" si="4"/>
        <v>8568.9999975438532</v>
      </c>
      <c r="L32" s="54">
        <f t="shared" si="4"/>
        <v>0</v>
      </c>
      <c r="M32" s="54">
        <f t="shared" si="4"/>
        <v>0</v>
      </c>
      <c r="N32" s="54">
        <f t="shared" si="4"/>
        <v>0</v>
      </c>
      <c r="O32" s="54">
        <f t="shared" si="4"/>
        <v>0</v>
      </c>
      <c r="P32" s="54">
        <f t="shared" si="4"/>
        <v>0</v>
      </c>
    </row>
    <row r="33" spans="1:16" ht="12" customHeight="1" x14ac:dyDescent="0.2">
      <c r="A33" s="134"/>
      <c r="B33" s="60"/>
      <c r="C33" s="52"/>
      <c r="D33" s="52" t="s">
        <v>32</v>
      </c>
      <c r="E33" s="52"/>
      <c r="F33" s="53"/>
      <c r="G33" s="54">
        <f>G28+G32</f>
        <v>369761.85</v>
      </c>
      <c r="H33" s="54">
        <f t="shared" ref="H33:P33" si="5">H28+H32</f>
        <v>38076.950013567977</v>
      </c>
      <c r="I33" s="54">
        <f t="shared" si="5"/>
        <v>157113.84999357304</v>
      </c>
      <c r="J33" s="54">
        <f t="shared" si="5"/>
        <v>0</v>
      </c>
      <c r="K33" s="54">
        <f t="shared" si="5"/>
        <v>174571.04999285896</v>
      </c>
      <c r="L33" s="54">
        <f t="shared" si="5"/>
        <v>0</v>
      </c>
      <c r="M33" s="54">
        <f t="shared" si="5"/>
        <v>0</v>
      </c>
      <c r="N33" s="54">
        <f t="shared" si="5"/>
        <v>0</v>
      </c>
      <c r="O33" s="54">
        <f t="shared" si="5"/>
        <v>0</v>
      </c>
      <c r="P33" s="54">
        <f t="shared" si="5"/>
        <v>0</v>
      </c>
    </row>
    <row r="34" spans="1:16" ht="12" customHeight="1" x14ac:dyDescent="0.2">
      <c r="A34" s="129"/>
      <c r="B34" s="60"/>
      <c r="C34" s="52"/>
      <c r="D34" s="52" t="s">
        <v>33</v>
      </c>
      <c r="E34" s="52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t="12" customHeight="1" x14ac:dyDescent="0.2">
      <c r="A35" s="129"/>
      <c r="B35" s="60"/>
      <c r="C35" s="52"/>
      <c r="D35" s="52"/>
      <c r="E35" s="52" t="s">
        <v>3</v>
      </c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t="12" customHeight="1" x14ac:dyDescent="0.2">
      <c r="A36" s="129"/>
      <c r="B36" s="60"/>
      <c r="C36" s="52"/>
      <c r="D36" s="52"/>
      <c r="E36" s="52"/>
      <c r="F36" s="53" t="s">
        <v>37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t="12" customHeight="1" x14ac:dyDescent="0.2">
      <c r="A37" s="129"/>
      <c r="B37" s="60"/>
      <c r="C37" s="52"/>
      <c r="D37" s="52"/>
      <c r="E37" s="52"/>
      <c r="F37" s="53" t="s">
        <v>4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t="12" customHeight="1" x14ac:dyDescent="0.2">
      <c r="A38" s="134"/>
      <c r="B38" s="60"/>
      <c r="C38" s="52"/>
      <c r="D38" s="52"/>
      <c r="E38" s="52" t="s">
        <v>7</v>
      </c>
      <c r="F38" s="53"/>
      <c r="G38" s="54">
        <f>SUM(G36:G37)</f>
        <v>0</v>
      </c>
      <c r="H38" s="54">
        <f t="shared" ref="H38:P38" si="6">SUM(H36:H37)</f>
        <v>0</v>
      </c>
      <c r="I38" s="54">
        <f t="shared" si="6"/>
        <v>0</v>
      </c>
      <c r="J38" s="54">
        <f t="shared" si="6"/>
        <v>0</v>
      </c>
      <c r="K38" s="54">
        <f t="shared" si="6"/>
        <v>0</v>
      </c>
      <c r="L38" s="54">
        <f t="shared" si="6"/>
        <v>0</v>
      </c>
      <c r="M38" s="54">
        <f t="shared" si="6"/>
        <v>0</v>
      </c>
      <c r="N38" s="54">
        <f t="shared" si="6"/>
        <v>0</v>
      </c>
      <c r="O38" s="54">
        <f t="shared" si="6"/>
        <v>0</v>
      </c>
      <c r="P38" s="54">
        <f t="shared" si="6"/>
        <v>0</v>
      </c>
    </row>
    <row r="39" spans="1:16" ht="12" customHeight="1" x14ac:dyDescent="0.2">
      <c r="A39" s="129"/>
      <c r="B39" s="60"/>
      <c r="C39" s="52"/>
      <c r="D39" s="52"/>
      <c r="E39" s="52" t="s">
        <v>5</v>
      </c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t="12" customHeight="1" x14ac:dyDescent="0.2">
      <c r="A40" s="129"/>
      <c r="B40" s="60"/>
      <c r="C40" s="52"/>
      <c r="D40" s="52"/>
      <c r="E40" s="52"/>
      <c r="F40" s="53" t="s">
        <v>37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t="12" customHeight="1" x14ac:dyDescent="0.2">
      <c r="A41" s="129"/>
      <c r="B41" s="60"/>
      <c r="C41" s="52"/>
      <c r="D41" s="52"/>
      <c r="E41" s="52"/>
      <c r="F41" s="53" t="s">
        <v>4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t="12" customHeight="1" x14ac:dyDescent="0.2">
      <c r="A42" s="134"/>
      <c r="B42" s="60"/>
      <c r="C42" s="52"/>
      <c r="D42" s="52"/>
      <c r="E42" s="52" t="s">
        <v>8</v>
      </c>
      <c r="F42" s="53"/>
      <c r="G42" s="54">
        <f>SUM(G40:G41)</f>
        <v>0</v>
      </c>
      <c r="H42" s="54">
        <f t="shared" ref="H42:P42" si="7">SUM(H40:H41)</f>
        <v>0</v>
      </c>
      <c r="I42" s="54">
        <f t="shared" si="7"/>
        <v>0</v>
      </c>
      <c r="J42" s="54">
        <f t="shared" si="7"/>
        <v>0</v>
      </c>
      <c r="K42" s="54">
        <f t="shared" si="7"/>
        <v>0</v>
      </c>
      <c r="L42" s="54">
        <f t="shared" si="7"/>
        <v>0</v>
      </c>
      <c r="M42" s="54">
        <f t="shared" si="7"/>
        <v>0</v>
      </c>
      <c r="N42" s="54">
        <f t="shared" si="7"/>
        <v>0</v>
      </c>
      <c r="O42" s="54">
        <f t="shared" si="7"/>
        <v>0</v>
      </c>
      <c r="P42" s="54">
        <f t="shared" si="7"/>
        <v>0</v>
      </c>
    </row>
    <row r="43" spans="1:16" ht="12" customHeight="1" x14ac:dyDescent="0.2">
      <c r="A43" s="134"/>
      <c r="B43" s="60"/>
      <c r="C43" s="52"/>
      <c r="D43" s="52" t="s">
        <v>34</v>
      </c>
      <c r="E43" s="52"/>
      <c r="F43" s="53"/>
      <c r="G43" s="54">
        <f>G38+G42</f>
        <v>0</v>
      </c>
      <c r="H43" s="54">
        <f t="shared" ref="H43:P43" si="8">H38+H42</f>
        <v>0</v>
      </c>
      <c r="I43" s="54">
        <f t="shared" si="8"/>
        <v>0</v>
      </c>
      <c r="J43" s="54">
        <f t="shared" si="8"/>
        <v>0</v>
      </c>
      <c r="K43" s="54">
        <f t="shared" si="8"/>
        <v>0</v>
      </c>
      <c r="L43" s="54">
        <f t="shared" si="8"/>
        <v>0</v>
      </c>
      <c r="M43" s="54">
        <f t="shared" si="8"/>
        <v>0</v>
      </c>
      <c r="N43" s="54">
        <f t="shared" si="8"/>
        <v>0</v>
      </c>
      <c r="O43" s="54">
        <f t="shared" si="8"/>
        <v>0</v>
      </c>
      <c r="P43" s="54">
        <f t="shared" si="8"/>
        <v>0</v>
      </c>
    </row>
    <row r="44" spans="1:16" ht="12" customHeight="1" x14ac:dyDescent="0.2">
      <c r="A44" s="135"/>
      <c r="B44" s="55"/>
      <c r="C44" s="56" t="s">
        <v>80</v>
      </c>
      <c r="D44" s="56"/>
      <c r="E44" s="56"/>
      <c r="F44" s="57"/>
      <c r="G44" s="58">
        <f>G33+G43</f>
        <v>369761.85</v>
      </c>
      <c r="H44" s="58">
        <f t="shared" ref="H44:P44" si="9">H33+H43</f>
        <v>38076.950013567977</v>
      </c>
      <c r="I44" s="58">
        <f t="shared" si="9"/>
        <v>157113.84999357304</v>
      </c>
      <c r="J44" s="58">
        <f t="shared" si="9"/>
        <v>0</v>
      </c>
      <c r="K44" s="58">
        <f t="shared" si="9"/>
        <v>174571.04999285896</v>
      </c>
      <c r="L44" s="58">
        <f t="shared" si="9"/>
        <v>0</v>
      </c>
      <c r="M44" s="58">
        <f t="shared" si="9"/>
        <v>0</v>
      </c>
      <c r="N44" s="58">
        <f t="shared" si="9"/>
        <v>0</v>
      </c>
      <c r="O44" s="58">
        <f t="shared" si="9"/>
        <v>0</v>
      </c>
      <c r="P44" s="58">
        <f t="shared" si="9"/>
        <v>0</v>
      </c>
    </row>
    <row r="45" spans="1:16" ht="12" customHeight="1" x14ac:dyDescent="0.2">
      <c r="A45" s="137"/>
      <c r="B45" s="60"/>
      <c r="C45" s="209" t="s">
        <v>12</v>
      </c>
      <c r="D45" s="209"/>
      <c r="E45" s="209"/>
      <c r="F45" s="210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t="12" customHeight="1" x14ac:dyDescent="0.2">
      <c r="A46" s="129"/>
      <c r="B46" s="60"/>
      <c r="C46" s="52"/>
      <c r="D46" s="52" t="s">
        <v>3</v>
      </c>
      <c r="E46" s="52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t="12" customHeight="1" x14ac:dyDescent="0.2">
      <c r="A47" s="129"/>
      <c r="B47" s="60"/>
      <c r="C47" s="52"/>
      <c r="D47" s="52"/>
      <c r="E47" s="52" t="s">
        <v>10</v>
      </c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t="12" customHeight="1" x14ac:dyDescent="0.2">
      <c r="A48" s="129"/>
      <c r="B48" s="60"/>
      <c r="C48" s="52"/>
      <c r="D48" s="52"/>
      <c r="E48" s="52" t="s">
        <v>11</v>
      </c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t="12" customHeight="1" x14ac:dyDescent="0.2">
      <c r="A49" s="130" t="s">
        <v>149</v>
      </c>
      <c r="B49" s="60"/>
      <c r="C49" s="52"/>
      <c r="D49" s="52"/>
      <c r="E49" s="52" t="s">
        <v>37</v>
      </c>
      <c r="F49" s="53"/>
      <c r="G49" s="131">
        <f>SUMIF(Worksheet!$B$121:$B$139,$A49,Worksheet!I$121:I$139)</f>
        <v>17716.75</v>
      </c>
      <c r="H49" s="132">
        <f>G49-SUM(I49:P49)</f>
        <v>1116.5500004684909</v>
      </c>
      <c r="I49" s="131">
        <f>SUMIF(Worksheet!$B$121:$B$139,$A49,Worksheet!M$121:M$139)</f>
        <v>7863.2499997780833</v>
      </c>
      <c r="J49" s="54"/>
      <c r="K49" s="131">
        <f>SUMIF(Worksheet!$B$121:$B$139,$A49,Worksheet!N$121:N$139)</f>
        <v>8736.9499997534258</v>
      </c>
      <c r="L49" s="54"/>
      <c r="M49" s="131"/>
      <c r="N49" s="131">
        <f>SUMIF(Worksheet!$B$121:$B$139,$A49,Worksheet!O$121:O$139)</f>
        <v>0</v>
      </c>
      <c r="O49" s="131">
        <f>SUMIF(Worksheet!$B$121:$B$139,$A49,Worksheet!P$121:P$139)</f>
        <v>0</v>
      </c>
      <c r="P49" s="131">
        <f>SUMIF(Worksheet!$B$121:$B$139,$A49,Worksheet!Q$121:Q$139)</f>
        <v>0</v>
      </c>
    </row>
    <row r="50" spans="1:16" ht="12" customHeight="1" x14ac:dyDescent="0.2">
      <c r="A50" s="130" t="s">
        <v>150</v>
      </c>
      <c r="B50" s="60"/>
      <c r="C50" s="52"/>
      <c r="D50" s="52"/>
      <c r="E50" s="52" t="s">
        <v>4</v>
      </c>
      <c r="F50" s="53"/>
      <c r="G50" s="131">
        <f>SUMIF(Worksheet!$B$121:$B$139,$A50,Worksheet!I$121:I$139)</f>
        <v>0</v>
      </c>
      <c r="H50" s="132">
        <f>G50-SUM(I50:P50)</f>
        <v>0</v>
      </c>
      <c r="I50" s="131">
        <f>SUMIF(Worksheet!$B$121:$B$139,$A50,Worksheet!M$121:M$139)</f>
        <v>0</v>
      </c>
      <c r="J50" s="54"/>
      <c r="K50" s="131">
        <f>SUMIF(Worksheet!$B$121:$B$139,$A50,Worksheet!N$121:N$139)</f>
        <v>0</v>
      </c>
      <c r="L50" s="54"/>
      <c r="M50" s="131"/>
      <c r="N50" s="131">
        <f>SUMIF(Worksheet!$B$121:$B$139,$A50,Worksheet!O$121:O$139)</f>
        <v>0</v>
      </c>
      <c r="O50" s="131">
        <f>SUMIF(Worksheet!$B$121:$B$139,$A50,Worksheet!P$121:P$139)</f>
        <v>0</v>
      </c>
      <c r="P50" s="131">
        <f>SUMIF(Worksheet!$B$121:$B$139,$A50,Worksheet!Q$121:Q$139)</f>
        <v>0</v>
      </c>
    </row>
    <row r="51" spans="1:16" ht="12" customHeight="1" x14ac:dyDescent="0.2">
      <c r="A51" s="134"/>
      <c r="B51" s="60"/>
      <c r="C51" s="52"/>
      <c r="D51" s="52" t="s">
        <v>7</v>
      </c>
      <c r="E51" s="52"/>
      <c r="F51" s="53"/>
      <c r="G51" s="54">
        <f>SUM(G47:G50)</f>
        <v>17716.75</v>
      </c>
      <c r="H51" s="54">
        <f t="shared" ref="H51:P51" si="10">SUM(H47:H50)</f>
        <v>1116.5500004684909</v>
      </c>
      <c r="I51" s="54">
        <f t="shared" si="10"/>
        <v>7863.2499997780833</v>
      </c>
      <c r="J51" s="54">
        <f t="shared" si="10"/>
        <v>0</v>
      </c>
      <c r="K51" s="54">
        <f t="shared" si="10"/>
        <v>8736.9499997534258</v>
      </c>
      <c r="L51" s="54">
        <f t="shared" si="10"/>
        <v>0</v>
      </c>
      <c r="M51" s="54">
        <f t="shared" si="10"/>
        <v>0</v>
      </c>
      <c r="N51" s="54">
        <f t="shared" si="10"/>
        <v>0</v>
      </c>
      <c r="O51" s="54">
        <f t="shared" si="10"/>
        <v>0</v>
      </c>
      <c r="P51" s="54">
        <f t="shared" si="10"/>
        <v>0</v>
      </c>
    </row>
    <row r="52" spans="1:16" ht="12" customHeight="1" x14ac:dyDescent="0.2">
      <c r="A52" s="129"/>
      <c r="B52" s="60"/>
      <c r="C52" s="52"/>
      <c r="D52" s="52" t="s">
        <v>5</v>
      </c>
      <c r="E52" s="52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t="12" customHeight="1" x14ac:dyDescent="0.2">
      <c r="A53" s="129"/>
      <c r="B53" s="60"/>
      <c r="C53" s="52"/>
      <c r="D53" s="52"/>
      <c r="E53" s="52" t="s">
        <v>10</v>
      </c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t="12" customHeight="1" x14ac:dyDescent="0.2">
      <c r="A54" s="129"/>
      <c r="B54" s="60"/>
      <c r="C54" s="52"/>
      <c r="D54" s="52"/>
      <c r="E54" s="52" t="s">
        <v>11</v>
      </c>
      <c r="F54" s="53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t="12" customHeight="1" x14ac:dyDescent="0.2">
      <c r="A55" s="129" t="s">
        <v>151</v>
      </c>
      <c r="B55" s="60"/>
      <c r="C55" s="52"/>
      <c r="D55" s="52"/>
      <c r="E55" s="52" t="s">
        <v>37</v>
      </c>
      <c r="F55" s="53"/>
      <c r="G55" s="131">
        <f>SUMIF(Worksheet!$B$121:$B$139,$A55,Worksheet!I$121:I$139)</f>
        <v>0</v>
      </c>
      <c r="H55" s="132">
        <f>G55-SUM(I55:P55)</f>
        <v>0</v>
      </c>
      <c r="I55" s="131">
        <f>SUMIF(Worksheet!$B$121:$B$139,$A55,Worksheet!M$121:M$139)</f>
        <v>0</v>
      </c>
      <c r="J55" s="54"/>
      <c r="K55" s="131">
        <f>SUMIF(Worksheet!$B$121:$B$139,$A55,Worksheet!N$121:N$139)</f>
        <v>0</v>
      </c>
      <c r="L55" s="54"/>
      <c r="M55" s="131"/>
      <c r="N55" s="131">
        <f>SUMIF(Worksheet!$B$121:$B$139,$A55,Worksheet!O$121:O$139)</f>
        <v>0</v>
      </c>
      <c r="O55" s="131">
        <f>SUMIF(Worksheet!$B$121:$B$139,$A55,Worksheet!P$121:P$139)</f>
        <v>0</v>
      </c>
      <c r="P55" s="131">
        <f>SUMIF(Worksheet!$B$121:$B$139,$A55,Worksheet!Q$121:Q$139)</f>
        <v>0</v>
      </c>
    </row>
    <row r="56" spans="1:16" ht="12" customHeight="1" x14ac:dyDescent="0.2">
      <c r="A56" s="129" t="s">
        <v>152</v>
      </c>
      <c r="B56" s="60"/>
      <c r="C56" s="52"/>
      <c r="D56" s="52"/>
      <c r="E56" s="52" t="s">
        <v>4</v>
      </c>
      <c r="F56" s="53"/>
      <c r="G56" s="131">
        <f>SUMIF(Worksheet!$B$121:$B$139,$A56,Worksheet!I$121:I$139)</f>
        <v>1744.4000000000015</v>
      </c>
      <c r="H56" s="132">
        <f>G56-SUM(I56:P56)</f>
        <v>887.50000024561541</v>
      </c>
      <c r="I56" s="131">
        <f>SUMIF(Worksheet!$B$121:$B$139,$A56,Worksheet!M$121:M$139)</f>
        <v>405.89999988365656</v>
      </c>
      <c r="J56" s="54"/>
      <c r="K56" s="131">
        <f>SUMIF(Worksheet!$B$121:$B$139,$A56,Worksheet!N$121:N$139)</f>
        <v>450.99999987072948</v>
      </c>
      <c r="L56" s="54"/>
      <c r="M56" s="131"/>
      <c r="N56" s="131">
        <f>SUMIF(Worksheet!$B$121:$B$139,$A56,Worksheet!O$121:O$139)</f>
        <v>0</v>
      </c>
      <c r="O56" s="131">
        <f>SUMIF(Worksheet!$B$121:$B$139,$A56,Worksheet!P$121:P$139)</f>
        <v>0</v>
      </c>
      <c r="P56" s="131">
        <f>SUMIF(Worksheet!$B$121:$B$139,$A56,Worksheet!Q$121:Q$139)</f>
        <v>0</v>
      </c>
    </row>
    <row r="57" spans="1:16" ht="12" customHeight="1" x14ac:dyDescent="0.2">
      <c r="A57" s="134"/>
      <c r="B57" s="60"/>
      <c r="C57" s="52"/>
      <c r="D57" s="52" t="s">
        <v>8</v>
      </c>
      <c r="E57" s="52"/>
      <c r="F57" s="53"/>
      <c r="G57" s="54">
        <f>SUM(G53:G56)</f>
        <v>1744.4000000000015</v>
      </c>
      <c r="H57" s="54">
        <f t="shared" ref="H57:P57" si="11">SUM(H53:H56)</f>
        <v>887.50000024561541</v>
      </c>
      <c r="I57" s="54">
        <f t="shared" si="11"/>
        <v>405.89999988365656</v>
      </c>
      <c r="J57" s="54">
        <f t="shared" si="11"/>
        <v>0</v>
      </c>
      <c r="K57" s="54">
        <f t="shared" si="11"/>
        <v>450.99999987072948</v>
      </c>
      <c r="L57" s="54">
        <f t="shared" si="11"/>
        <v>0</v>
      </c>
      <c r="M57" s="54">
        <f t="shared" si="11"/>
        <v>0</v>
      </c>
      <c r="N57" s="54">
        <f t="shared" si="11"/>
        <v>0</v>
      </c>
      <c r="O57" s="54">
        <f t="shared" si="11"/>
        <v>0</v>
      </c>
      <c r="P57" s="54">
        <f t="shared" si="11"/>
        <v>0</v>
      </c>
    </row>
    <row r="58" spans="1:16" ht="12" customHeight="1" x14ac:dyDescent="0.2">
      <c r="A58" s="135"/>
      <c r="B58" s="55"/>
      <c r="C58" s="56" t="s">
        <v>13</v>
      </c>
      <c r="D58" s="56"/>
      <c r="E58" s="56"/>
      <c r="F58" s="57"/>
      <c r="G58" s="58">
        <f>G57+G51</f>
        <v>19461.150000000001</v>
      </c>
      <c r="H58" s="58">
        <f t="shared" ref="H58:P58" si="12">H57+H51</f>
        <v>2004.0500007141063</v>
      </c>
      <c r="I58" s="58">
        <f t="shared" si="12"/>
        <v>8269.1499996617404</v>
      </c>
      <c r="J58" s="58">
        <f t="shared" si="12"/>
        <v>0</v>
      </c>
      <c r="K58" s="58">
        <f t="shared" si="12"/>
        <v>9187.9499996241557</v>
      </c>
      <c r="L58" s="58">
        <f t="shared" si="12"/>
        <v>0</v>
      </c>
      <c r="M58" s="58">
        <f t="shared" si="12"/>
        <v>0</v>
      </c>
      <c r="N58" s="58">
        <f t="shared" si="12"/>
        <v>0</v>
      </c>
      <c r="O58" s="58">
        <f t="shared" si="12"/>
        <v>0</v>
      </c>
      <c r="P58" s="58">
        <f t="shared" si="12"/>
        <v>0</v>
      </c>
    </row>
    <row r="59" spans="1:16" ht="24" customHeight="1" x14ac:dyDescent="0.25">
      <c r="A59" s="138"/>
      <c r="B59" s="117" t="str">
        <f>"Total "&amp;B3</f>
        <v>Total Work Plan 3</v>
      </c>
      <c r="C59" s="105"/>
      <c r="D59" s="105"/>
      <c r="E59" s="105"/>
      <c r="F59" s="106"/>
      <c r="G59" s="107">
        <f>G22+G44+G58</f>
        <v>389223</v>
      </c>
      <c r="H59" s="107">
        <f t="shared" ref="H59:P59" si="13">H22+H44+H58</f>
        <v>40081.000014282086</v>
      </c>
      <c r="I59" s="107">
        <f t="shared" si="13"/>
        <v>165382.99999323479</v>
      </c>
      <c r="J59" s="107">
        <f t="shared" si="13"/>
        <v>0</v>
      </c>
      <c r="K59" s="107">
        <f t="shared" si="13"/>
        <v>183758.99999248312</v>
      </c>
      <c r="L59" s="107">
        <f t="shared" si="13"/>
        <v>0</v>
      </c>
      <c r="M59" s="107">
        <f t="shared" si="13"/>
        <v>0</v>
      </c>
      <c r="N59" s="107">
        <f t="shared" si="13"/>
        <v>0</v>
      </c>
      <c r="O59" s="107">
        <f t="shared" si="13"/>
        <v>0</v>
      </c>
      <c r="P59" s="107">
        <f t="shared" si="13"/>
        <v>0</v>
      </c>
    </row>
    <row r="60" spans="1:16" x14ac:dyDescent="0.2">
      <c r="A60" s="94"/>
    </row>
    <row r="61" spans="1:16" x14ac:dyDescent="0.2">
      <c r="A61" s="94"/>
      <c r="B61" s="48" t="s">
        <v>153</v>
      </c>
      <c r="G61" s="94">
        <f>Worksheet!J117</f>
        <v>389223.00002000004</v>
      </c>
      <c r="H61" s="94">
        <f>Worksheet!L117</f>
        <v>40081</v>
      </c>
      <c r="I61" s="94">
        <f>Worksheet!M117</f>
        <v>165383</v>
      </c>
      <c r="K61" s="94">
        <f>Worksheet!N117</f>
        <v>183759</v>
      </c>
      <c r="N61" s="94">
        <f>Worksheet!O117</f>
        <v>0</v>
      </c>
      <c r="O61" s="94">
        <f>Worksheet!P117</f>
        <v>0</v>
      </c>
      <c r="P61" s="94">
        <f>Worksheet!Q117</f>
        <v>0</v>
      </c>
    </row>
    <row r="62" spans="1:16" x14ac:dyDescent="0.2">
      <c r="A62" s="94"/>
      <c r="B62" s="48" t="s">
        <v>132</v>
      </c>
      <c r="F62" s="232">
        <f>SUM(G62:P62)</f>
        <v>-2.0000043150503188E-5</v>
      </c>
      <c r="G62" s="94">
        <f>G59-G61</f>
        <v>-2.0000035874545574E-5</v>
      </c>
      <c r="H62" s="94">
        <f t="shared" ref="H62:P62" si="14">H59-H61</f>
        <v>1.4282086340244859E-5</v>
      </c>
      <c r="I62" s="94">
        <f t="shared" si="14"/>
        <v>-6.7652144934982061E-6</v>
      </c>
      <c r="J62" s="94">
        <f t="shared" si="14"/>
        <v>0</v>
      </c>
      <c r="K62" s="94">
        <f t="shared" si="14"/>
        <v>-7.5168791227042675E-6</v>
      </c>
      <c r="L62" s="94">
        <f t="shared" si="14"/>
        <v>0</v>
      </c>
      <c r="M62" s="94">
        <f t="shared" si="14"/>
        <v>0</v>
      </c>
      <c r="N62" s="94">
        <f t="shared" si="14"/>
        <v>0</v>
      </c>
      <c r="O62" s="94">
        <f t="shared" si="14"/>
        <v>0</v>
      </c>
      <c r="P62" s="94">
        <f t="shared" si="14"/>
        <v>0</v>
      </c>
    </row>
  </sheetData>
  <sheetProtection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25" right="0.25" top="0.75" bottom="0.25" header="0.5" footer="0"/>
  <pageSetup scale="63" orientation="portrait" r:id="rId1"/>
  <headerFooter alignWithMargins="0">
    <oddHeader>&amp;REnclosure 2</oddHeader>
    <oddFooter>&amp;LPage 3&amp;Rver 3 (12/2007)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pageSetUpPr fitToPage="1"/>
  </sheetPr>
  <dimension ref="A1:S62"/>
  <sheetViews>
    <sheetView topLeftCell="A47" zoomScale="80" zoomScaleNormal="80" workbookViewId="0">
      <selection activeCell="F62" activeCellId="3" sqref="A19:A20 A30:A31 A55:A56 F62"/>
    </sheetView>
  </sheetViews>
  <sheetFormatPr defaultColWidth="0" defaultRowHeight="15" zeroHeight="1" x14ac:dyDescent="0.2"/>
  <cols>
    <col min="1" max="1" width="5.85546875" style="48" customWidth="1"/>
    <col min="2" max="2" width="6" style="48" customWidth="1"/>
    <col min="3" max="3" width="3.85546875" style="48" customWidth="1"/>
    <col min="4" max="4" width="6" style="48" customWidth="1"/>
    <col min="5" max="5" width="3.7109375" style="48" customWidth="1"/>
    <col min="6" max="6" width="22.7109375" style="48" customWidth="1"/>
    <col min="7" max="7" width="18.42578125" style="48" customWidth="1"/>
    <col min="8" max="8" width="13.42578125" style="48" customWidth="1"/>
    <col min="9" max="9" width="17.7109375" style="48" customWidth="1"/>
    <col min="10" max="10" width="15.28515625" style="48" customWidth="1"/>
    <col min="11" max="11" width="14.28515625" style="48" customWidth="1"/>
    <col min="12" max="12" width="14.7109375" style="48" customWidth="1"/>
    <col min="13" max="13" width="18.42578125" style="48" customWidth="1"/>
    <col min="14" max="14" width="16.85546875" style="48" customWidth="1"/>
    <col min="15" max="15" width="14.5703125" style="48" customWidth="1"/>
    <col min="16" max="16" width="13.85546875" style="48" customWidth="1"/>
    <col min="17" max="19" width="12.7109375" hidden="1" customWidth="1"/>
  </cols>
  <sheetData>
    <row r="1" spans="1:19" ht="42" customHeight="1" x14ac:dyDescent="0.25">
      <c r="A1" s="231">
        <f>F62</f>
        <v>-2.0000010664489309E-5</v>
      </c>
      <c r="B1" s="173" t="str">
        <f>'CSS Pgm 1'!B1:$P$1</f>
        <v>Annual Mental Health Services Act Revenue and Expenditure Report for Fiscal Year 2007-08
Community Services and Supports (CSS) Programs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9" ht="20.25" customHeight="1" x14ac:dyDescent="0.25">
      <c r="B2" s="47" t="s">
        <v>28</v>
      </c>
      <c r="C2" s="47"/>
      <c r="D2" s="47"/>
      <c r="E2" s="226" t="str">
        <f>'CSS Pgm 1'!E2</f>
        <v>Santa Cruz</v>
      </c>
      <c r="F2" s="226"/>
      <c r="G2" s="74"/>
      <c r="H2" s="74"/>
      <c r="I2" s="74"/>
      <c r="J2" s="74"/>
      <c r="K2" s="74"/>
      <c r="L2" s="74"/>
      <c r="M2" s="74"/>
      <c r="N2" s="74"/>
      <c r="O2" s="49" t="s">
        <v>29</v>
      </c>
      <c r="P2" s="78" t="str">
        <f>Worksheet!$N$2</f>
        <v>10/7/09</v>
      </c>
    </row>
    <row r="3" spans="1:19" ht="22.5" customHeight="1" x14ac:dyDescent="0.25">
      <c r="B3" s="47" t="s">
        <v>222</v>
      </c>
      <c r="C3" s="47"/>
      <c r="D3" s="47"/>
      <c r="E3" s="224" t="str">
        <f>Worksheet!D147</f>
        <v>Education Gate</v>
      </c>
      <c r="F3" s="225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ht="12" customHeight="1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s="3" customFormat="1" ht="15" customHeight="1" x14ac:dyDescent="0.25">
      <c r="A5" s="122"/>
      <c r="B5" s="174" t="s">
        <v>30</v>
      </c>
      <c r="C5" s="175"/>
      <c r="D5" s="175"/>
      <c r="E5" s="175"/>
      <c r="F5" s="176"/>
      <c r="G5" s="150" t="s">
        <v>19</v>
      </c>
      <c r="H5" s="151" t="s">
        <v>20</v>
      </c>
      <c r="I5" s="151" t="s">
        <v>27</v>
      </c>
      <c r="J5" s="151" t="s">
        <v>21</v>
      </c>
      <c r="K5" s="151" t="s">
        <v>22</v>
      </c>
      <c r="L5" s="151" t="s">
        <v>23</v>
      </c>
      <c r="M5" s="151" t="s">
        <v>24</v>
      </c>
      <c r="N5" s="151" t="s">
        <v>25</v>
      </c>
      <c r="O5" s="151" t="s">
        <v>26</v>
      </c>
      <c r="P5" s="151" t="s">
        <v>63</v>
      </c>
    </row>
    <row r="6" spans="1:19" s="3" customFormat="1" ht="22.5" customHeight="1" x14ac:dyDescent="0.25">
      <c r="A6" s="122"/>
      <c r="B6" s="177"/>
      <c r="C6" s="178"/>
      <c r="D6" s="178"/>
      <c r="E6" s="178"/>
      <c r="F6" s="179"/>
      <c r="G6" s="171" t="s">
        <v>6</v>
      </c>
      <c r="H6" s="201" t="s">
        <v>36</v>
      </c>
      <c r="I6" s="202"/>
      <c r="J6" s="202"/>
      <c r="K6" s="202"/>
      <c r="L6" s="202"/>
      <c r="M6" s="202"/>
      <c r="N6" s="202"/>
      <c r="O6" s="202"/>
      <c r="P6" s="203"/>
    </row>
    <row r="7" spans="1:19" s="1" customFormat="1" ht="42" customHeight="1" x14ac:dyDescent="0.2">
      <c r="A7" s="124"/>
      <c r="B7" s="180"/>
      <c r="C7" s="181"/>
      <c r="D7" s="181"/>
      <c r="E7" s="181"/>
      <c r="F7" s="182"/>
      <c r="G7" s="172"/>
      <c r="H7" s="119" t="s">
        <v>0</v>
      </c>
      <c r="I7" s="119" t="s">
        <v>35</v>
      </c>
      <c r="J7" s="119" t="s">
        <v>18</v>
      </c>
      <c r="K7" s="119" t="s">
        <v>1</v>
      </c>
      <c r="L7" s="119" t="s">
        <v>15</v>
      </c>
      <c r="M7" s="119" t="s">
        <v>16</v>
      </c>
      <c r="N7" s="119" t="s">
        <v>2</v>
      </c>
      <c r="O7" s="119" t="s">
        <v>17</v>
      </c>
      <c r="P7" s="97" t="s">
        <v>62</v>
      </c>
      <c r="Q7" s="2"/>
      <c r="R7" s="2"/>
      <c r="S7" s="2"/>
    </row>
    <row r="8" spans="1:19" ht="24" customHeight="1" x14ac:dyDescent="0.25">
      <c r="A8" s="125"/>
      <c r="B8" s="86" t="str">
        <f>B3</f>
        <v>Work Plan 4</v>
      </c>
      <c r="C8" s="87"/>
      <c r="D8" s="87"/>
      <c r="E8" s="87"/>
      <c r="F8" s="88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9" ht="12" customHeight="1" x14ac:dyDescent="0.2">
      <c r="A9" s="127"/>
      <c r="B9" s="60"/>
      <c r="C9" s="211" t="s">
        <v>85</v>
      </c>
      <c r="D9" s="211"/>
      <c r="E9" s="211"/>
      <c r="F9" s="212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9" ht="12" customHeight="1" x14ac:dyDescent="0.2">
      <c r="A10" s="129"/>
      <c r="B10" s="60"/>
      <c r="C10" s="52"/>
      <c r="D10" s="52" t="s">
        <v>3</v>
      </c>
      <c r="E10" s="52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9" ht="12" customHeight="1" x14ac:dyDescent="0.2">
      <c r="A11" s="129"/>
      <c r="B11" s="60"/>
      <c r="C11" s="52"/>
      <c r="D11" s="52"/>
      <c r="E11" s="52" t="s">
        <v>10</v>
      </c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9" ht="12" customHeight="1" x14ac:dyDescent="0.2">
      <c r="A12" s="129"/>
      <c r="B12" s="60"/>
      <c r="C12" s="52"/>
      <c r="D12" s="52"/>
      <c r="E12" s="52" t="s">
        <v>11</v>
      </c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9" ht="12" customHeight="1" x14ac:dyDescent="0.2">
      <c r="A13" s="130" t="s">
        <v>138</v>
      </c>
      <c r="B13" s="60"/>
      <c r="C13" s="52"/>
      <c r="D13" s="52"/>
      <c r="E13" s="52" t="s">
        <v>37</v>
      </c>
      <c r="F13" s="53"/>
      <c r="G13" s="131">
        <f>SUMIF(Worksheet!$B$157:$B$175,$A13,Worksheet!I$157:I$175)</f>
        <v>0</v>
      </c>
      <c r="H13" s="132">
        <f>G13-SUM(I13:P13)</f>
        <v>0</v>
      </c>
      <c r="I13" s="131">
        <f>SUMIF(Worksheet!$B$157:$B$175,$A13,Worksheet!M$157:M$175)</f>
        <v>0</v>
      </c>
      <c r="J13" s="54"/>
      <c r="K13" s="131">
        <f>SUMIF(Worksheet!$B$157:$B$175,$A13,Worksheet!N$157:N$175)</f>
        <v>0</v>
      </c>
      <c r="L13" s="54"/>
      <c r="M13" s="131"/>
      <c r="N13" s="131">
        <f>SUMIF(Worksheet!$B$157:$B$175,$A13,Worksheet!O$157:O$175)</f>
        <v>0</v>
      </c>
      <c r="O13" s="131">
        <f>SUMIF(Worksheet!$B$157:$B$175,$A13,Worksheet!P$157:P$175)</f>
        <v>0</v>
      </c>
      <c r="P13" s="131">
        <f>SUMIF(Worksheet!$B$157:$B$175,$A13,Worksheet!Q$157:Q$175)</f>
        <v>0</v>
      </c>
    </row>
    <row r="14" spans="1:19" ht="12" customHeight="1" x14ac:dyDescent="0.2">
      <c r="A14" s="130" t="s">
        <v>142</v>
      </c>
      <c r="B14" s="60"/>
      <c r="C14" s="52"/>
      <c r="D14" s="52"/>
      <c r="E14" s="52" t="s">
        <v>4</v>
      </c>
      <c r="F14" s="53"/>
      <c r="G14" s="131">
        <f>SUMIF(Worksheet!$B$157:$B$175,$A14,Worksheet!I$157:I$175)</f>
        <v>0</v>
      </c>
      <c r="H14" s="132">
        <f>G14-SUM(I14:P14)</f>
        <v>0</v>
      </c>
      <c r="I14" s="131">
        <f>SUMIF(Worksheet!$B$157:$B$175,$A14,Worksheet!M$157:M$175)</f>
        <v>0</v>
      </c>
      <c r="J14" s="54"/>
      <c r="K14" s="131">
        <f>SUMIF(Worksheet!$B$157:$B$175,$A14,Worksheet!N$157:N$175)</f>
        <v>0</v>
      </c>
      <c r="L14" s="54"/>
      <c r="M14" s="131"/>
      <c r="N14" s="131">
        <f>SUMIF(Worksheet!$B$157:$B$175,$A14,Worksheet!O$157:O$175)</f>
        <v>0</v>
      </c>
      <c r="O14" s="131">
        <f>SUMIF(Worksheet!$B$157:$B$175,$A14,Worksheet!P$157:P$175)</f>
        <v>0</v>
      </c>
      <c r="P14" s="131">
        <f>SUMIF(Worksheet!$B$157:$B$175,$A14,Worksheet!Q$157:Q$175)</f>
        <v>0</v>
      </c>
    </row>
    <row r="15" spans="1:19" ht="12" customHeight="1" x14ac:dyDescent="0.2">
      <c r="A15" s="134"/>
      <c r="B15" s="60"/>
      <c r="C15" s="52"/>
      <c r="D15" s="52" t="s">
        <v>7</v>
      </c>
      <c r="E15" s="52"/>
      <c r="F15" s="53"/>
      <c r="G15" s="54">
        <f>SUM(G11:G14)</f>
        <v>0</v>
      </c>
      <c r="H15" s="54">
        <f t="shared" ref="H15:P15" si="0">SUM(H11:H14)</f>
        <v>0</v>
      </c>
      <c r="I15" s="54">
        <f t="shared" si="0"/>
        <v>0</v>
      </c>
      <c r="J15" s="54">
        <f t="shared" si="0"/>
        <v>0</v>
      </c>
      <c r="K15" s="54">
        <f t="shared" si="0"/>
        <v>0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54">
        <f t="shared" si="0"/>
        <v>0</v>
      </c>
    </row>
    <row r="16" spans="1:19" ht="12" customHeight="1" x14ac:dyDescent="0.2">
      <c r="A16" s="129"/>
      <c r="B16" s="60"/>
      <c r="C16" s="52"/>
      <c r="D16" s="52" t="s">
        <v>5</v>
      </c>
      <c r="E16" s="52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12" customHeight="1" x14ac:dyDescent="0.2">
      <c r="A17" s="129"/>
      <c r="B17" s="60"/>
      <c r="C17" s="52"/>
      <c r="D17" s="52"/>
      <c r="E17" s="52" t="s">
        <v>10</v>
      </c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t="12" customHeight="1" x14ac:dyDescent="0.2">
      <c r="A18" s="129"/>
      <c r="B18" s="60"/>
      <c r="C18" s="52"/>
      <c r="D18" s="52"/>
      <c r="E18" s="52" t="s">
        <v>11</v>
      </c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t="12" customHeight="1" x14ac:dyDescent="0.2">
      <c r="A19" s="129" t="s">
        <v>143</v>
      </c>
      <c r="B19" s="60"/>
      <c r="C19" s="52"/>
      <c r="D19" s="52"/>
      <c r="E19" s="52" t="s">
        <v>37</v>
      </c>
      <c r="F19" s="53"/>
      <c r="G19" s="131">
        <f>SUMIF(Worksheet!$B$157:$B$175,$A19,Worksheet!I$157:I$175)</f>
        <v>0</v>
      </c>
      <c r="H19" s="132">
        <f>G19-SUM(I19:P19)</f>
        <v>0</v>
      </c>
      <c r="I19" s="131">
        <f>SUMIF(Worksheet!$B$157:$B$175,$A19,Worksheet!M$157:M$175)</f>
        <v>0</v>
      </c>
      <c r="J19" s="54"/>
      <c r="K19" s="131">
        <f>SUMIF(Worksheet!$B$157:$B$175,$A19,Worksheet!N$157:N$175)</f>
        <v>0</v>
      </c>
      <c r="L19" s="54"/>
      <c r="M19" s="131"/>
      <c r="N19" s="131">
        <f>SUMIF(Worksheet!$B$157:$B$175,$A19,Worksheet!O$157:O$175)</f>
        <v>0</v>
      </c>
      <c r="O19" s="131">
        <f>SUMIF(Worksheet!$B$157:$B$175,$A19,Worksheet!P$157:P$175)</f>
        <v>0</v>
      </c>
      <c r="P19" s="131">
        <f>SUMIF(Worksheet!$B$157:$B$175,$A19,Worksheet!Q$157:Q$175)</f>
        <v>0</v>
      </c>
    </row>
    <row r="20" spans="1:16" ht="12" customHeight="1" x14ac:dyDescent="0.2">
      <c r="A20" s="129" t="s">
        <v>144</v>
      </c>
      <c r="B20" s="60"/>
      <c r="C20" s="52"/>
      <c r="D20" s="52"/>
      <c r="E20" s="52" t="s">
        <v>4</v>
      </c>
      <c r="F20" s="53"/>
      <c r="G20" s="131">
        <f>SUMIF(Worksheet!$B$157:$B$175,$A20,Worksheet!I$157:I$175)</f>
        <v>0</v>
      </c>
      <c r="H20" s="132">
        <f>G20-SUM(I20:P20)</f>
        <v>0</v>
      </c>
      <c r="I20" s="131">
        <f>SUMIF(Worksheet!$B$157:$B$175,$A20,Worksheet!M$157:M$175)</f>
        <v>0</v>
      </c>
      <c r="J20" s="54"/>
      <c r="K20" s="131">
        <f>SUMIF(Worksheet!$B$157:$B$175,$A20,Worksheet!N$157:N$175)</f>
        <v>0</v>
      </c>
      <c r="L20" s="54"/>
      <c r="M20" s="131"/>
      <c r="N20" s="131">
        <f>SUMIF(Worksheet!$B$157:$B$175,$A20,Worksheet!O$157:O$175)</f>
        <v>0</v>
      </c>
      <c r="O20" s="131">
        <f>SUMIF(Worksheet!$B$157:$B$175,$A20,Worksheet!P$157:P$175)</f>
        <v>0</v>
      </c>
      <c r="P20" s="131">
        <f>SUMIF(Worksheet!$B$157:$B$175,$A20,Worksheet!Q$157:Q$175)</f>
        <v>0</v>
      </c>
    </row>
    <row r="21" spans="1:16" ht="12" customHeight="1" x14ac:dyDescent="0.2">
      <c r="A21" s="134"/>
      <c r="B21" s="60"/>
      <c r="C21" s="52"/>
      <c r="D21" s="52" t="s">
        <v>8</v>
      </c>
      <c r="E21" s="52"/>
      <c r="F21" s="53"/>
      <c r="G21" s="54">
        <f>SUM(G17:G20)</f>
        <v>0</v>
      </c>
      <c r="H21" s="54">
        <f t="shared" ref="H21:P21" si="1">SUM(H17:H20)</f>
        <v>0</v>
      </c>
      <c r="I21" s="54">
        <f t="shared" si="1"/>
        <v>0</v>
      </c>
      <c r="J21" s="54">
        <f t="shared" si="1"/>
        <v>0</v>
      </c>
      <c r="K21" s="54">
        <f t="shared" si="1"/>
        <v>0</v>
      </c>
      <c r="L21" s="54">
        <f t="shared" si="1"/>
        <v>0</v>
      </c>
      <c r="M21" s="54">
        <f t="shared" si="1"/>
        <v>0</v>
      </c>
      <c r="N21" s="54">
        <f t="shared" si="1"/>
        <v>0</v>
      </c>
      <c r="O21" s="54">
        <f t="shared" si="1"/>
        <v>0</v>
      </c>
      <c r="P21" s="54">
        <f t="shared" si="1"/>
        <v>0</v>
      </c>
    </row>
    <row r="22" spans="1:16" ht="12" customHeight="1" x14ac:dyDescent="0.2">
      <c r="A22" s="135"/>
      <c r="B22" s="55"/>
      <c r="C22" s="56" t="s">
        <v>9</v>
      </c>
      <c r="D22" s="56"/>
      <c r="E22" s="56"/>
      <c r="F22" s="57"/>
      <c r="G22" s="58">
        <f>G15+G21</f>
        <v>0</v>
      </c>
      <c r="H22" s="58">
        <f t="shared" ref="H22:P22" si="2">H15+H21</f>
        <v>0</v>
      </c>
      <c r="I22" s="58">
        <f t="shared" si="2"/>
        <v>0</v>
      </c>
      <c r="J22" s="58">
        <f t="shared" si="2"/>
        <v>0</v>
      </c>
      <c r="K22" s="58">
        <f t="shared" si="2"/>
        <v>0</v>
      </c>
      <c r="L22" s="58">
        <f t="shared" si="2"/>
        <v>0</v>
      </c>
      <c r="M22" s="58">
        <f t="shared" si="2"/>
        <v>0</v>
      </c>
      <c r="N22" s="58">
        <f t="shared" si="2"/>
        <v>0</v>
      </c>
      <c r="O22" s="58">
        <f t="shared" si="2"/>
        <v>0</v>
      </c>
      <c r="P22" s="58">
        <f t="shared" si="2"/>
        <v>0</v>
      </c>
    </row>
    <row r="23" spans="1:16" ht="12" customHeight="1" x14ac:dyDescent="0.2">
      <c r="A23" s="127"/>
      <c r="B23" s="60"/>
      <c r="C23" s="213" t="s">
        <v>79</v>
      </c>
      <c r="D23" s="213"/>
      <c r="E23" s="213"/>
      <c r="F23" s="21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t="12" customHeight="1" x14ac:dyDescent="0.2">
      <c r="A24" s="129"/>
      <c r="B24" s="60"/>
      <c r="C24" s="52"/>
      <c r="D24" s="52" t="s">
        <v>31</v>
      </c>
      <c r="E24" s="52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t="12" customHeight="1" x14ac:dyDescent="0.2">
      <c r="A25" s="129"/>
      <c r="B25" s="60"/>
      <c r="C25" s="52"/>
      <c r="D25" s="52"/>
      <c r="E25" s="52" t="s">
        <v>3</v>
      </c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t="12" customHeight="1" x14ac:dyDescent="0.2">
      <c r="A26" s="130" t="s">
        <v>145</v>
      </c>
      <c r="B26" s="60"/>
      <c r="C26" s="52"/>
      <c r="D26" s="52"/>
      <c r="E26" s="52"/>
      <c r="F26" s="53" t="s">
        <v>37</v>
      </c>
      <c r="G26" s="131">
        <f>SUMIF(Worksheet!$B$157:$B$175,$A26,Worksheet!I$157:I$175)</f>
        <v>43427.35</v>
      </c>
      <c r="H26" s="132">
        <f>G26-SUM(I26:P26)</f>
        <v>43245.900000039692</v>
      </c>
      <c r="I26" s="131">
        <f>SUMIF(Worksheet!$B$157:$B$175,$A26,Worksheet!M$157:M$175)</f>
        <v>85.499999981296341</v>
      </c>
      <c r="J26" s="54"/>
      <c r="K26" s="131">
        <f>SUMIF(Worksheet!$B$157:$B$175,$A26,Worksheet!N$157:N$175)</f>
        <v>95.949999979010329</v>
      </c>
      <c r="L26" s="54"/>
      <c r="M26" s="131"/>
      <c r="N26" s="131">
        <f>SUMIF(Worksheet!$B$157:$B$175,$A26,Worksheet!O$157:O$175)</f>
        <v>0</v>
      </c>
      <c r="O26" s="131">
        <f>SUMIF(Worksheet!$B$157:$B$175,$A26,Worksheet!P$157:P$175)</f>
        <v>0</v>
      </c>
      <c r="P26" s="131">
        <f>SUMIF(Worksheet!$B$157:$B$175,$A26,Worksheet!Q$157:Q$175)</f>
        <v>0</v>
      </c>
    </row>
    <row r="27" spans="1:16" ht="12" customHeight="1" x14ac:dyDescent="0.2">
      <c r="A27" s="130" t="s">
        <v>146</v>
      </c>
      <c r="B27" s="60"/>
      <c r="C27" s="52"/>
      <c r="D27" s="52"/>
      <c r="E27" s="52"/>
      <c r="F27" s="53" t="s">
        <v>4</v>
      </c>
      <c r="G27" s="131">
        <f>SUMIF(Worksheet!$B$157:$B$175,$A27,Worksheet!I$157:I$175)</f>
        <v>0</v>
      </c>
      <c r="H27" s="132">
        <f>G27-SUM(I27:P27)</f>
        <v>0</v>
      </c>
      <c r="I27" s="131">
        <f>SUMIF(Worksheet!$B$157:$B$175,$A27,Worksheet!M$157:M$175)</f>
        <v>0</v>
      </c>
      <c r="J27" s="54"/>
      <c r="K27" s="131">
        <f>SUMIF(Worksheet!$B$157:$B$175,$A27,Worksheet!N$157:N$175)</f>
        <v>0</v>
      </c>
      <c r="L27" s="54"/>
      <c r="M27" s="131"/>
      <c r="N27" s="131">
        <f>SUMIF(Worksheet!$B$157:$B$175,$A27,Worksheet!O$157:O$175)</f>
        <v>0</v>
      </c>
      <c r="O27" s="131">
        <f>SUMIF(Worksheet!$B$157:$B$175,$A27,Worksheet!P$157:P$175)</f>
        <v>0</v>
      </c>
      <c r="P27" s="131">
        <f>SUMIF(Worksheet!$B$157:$B$175,$A27,Worksheet!Q$157:Q$175)</f>
        <v>0</v>
      </c>
    </row>
    <row r="28" spans="1:16" ht="12" customHeight="1" x14ac:dyDescent="0.2">
      <c r="A28" s="134"/>
      <c r="B28" s="60"/>
      <c r="C28" s="52"/>
      <c r="D28" s="52"/>
      <c r="E28" s="52" t="s">
        <v>7</v>
      </c>
      <c r="F28" s="53"/>
      <c r="G28" s="54">
        <f>SUM(G26:G27)</f>
        <v>43427.35</v>
      </c>
      <c r="H28" s="54">
        <f t="shared" ref="H28:P28" si="3">SUM(H26:H27)</f>
        <v>43245.900000039692</v>
      </c>
      <c r="I28" s="54">
        <f t="shared" si="3"/>
        <v>85.499999981296341</v>
      </c>
      <c r="J28" s="54">
        <f t="shared" si="3"/>
        <v>0</v>
      </c>
      <c r="K28" s="54">
        <f t="shared" si="3"/>
        <v>95.949999979010329</v>
      </c>
      <c r="L28" s="54">
        <f t="shared" si="3"/>
        <v>0</v>
      </c>
      <c r="M28" s="54">
        <f t="shared" si="3"/>
        <v>0</v>
      </c>
      <c r="N28" s="54">
        <f t="shared" si="3"/>
        <v>0</v>
      </c>
      <c r="O28" s="54">
        <f t="shared" si="3"/>
        <v>0</v>
      </c>
      <c r="P28" s="54">
        <f t="shared" si="3"/>
        <v>0</v>
      </c>
    </row>
    <row r="29" spans="1:16" ht="12" customHeight="1" x14ac:dyDescent="0.2">
      <c r="A29" s="129"/>
      <c r="B29" s="60"/>
      <c r="C29" s="52"/>
      <c r="D29" s="52"/>
      <c r="E29" s="52" t="s">
        <v>5</v>
      </c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t="12" customHeight="1" x14ac:dyDescent="0.2">
      <c r="A30" s="129" t="s">
        <v>147</v>
      </c>
      <c r="B30" s="60"/>
      <c r="C30" s="52"/>
      <c r="D30" s="52"/>
      <c r="E30" s="52"/>
      <c r="F30" s="53" t="s">
        <v>37</v>
      </c>
      <c r="G30" s="131">
        <f>SUMIF(Worksheet!$B$157:$B$175,$A30,Worksheet!I$157:I$175)</f>
        <v>0</v>
      </c>
      <c r="H30" s="132">
        <f>G30-SUM(I30:P30)</f>
        <v>0</v>
      </c>
      <c r="I30" s="131">
        <f>SUMIF(Worksheet!$B$157:$B$175,$A30,Worksheet!M$157:M$175)</f>
        <v>0</v>
      </c>
      <c r="J30" s="54"/>
      <c r="K30" s="131">
        <f>SUMIF(Worksheet!$B$157:$B$175,$A30,Worksheet!N$157:N$175)</f>
        <v>0</v>
      </c>
      <c r="L30" s="54"/>
      <c r="M30" s="131"/>
      <c r="N30" s="131">
        <f>SUMIF(Worksheet!$B$157:$B$175,$A30,Worksheet!O$157:O$175)</f>
        <v>0</v>
      </c>
      <c r="O30" s="131">
        <f>SUMIF(Worksheet!$B$157:$B$175,$A30,Worksheet!P$157:P$175)</f>
        <v>0</v>
      </c>
      <c r="P30" s="131">
        <f>SUMIF(Worksheet!$B$157:$B$175,$A30,Worksheet!Q$157:Q$175)</f>
        <v>0</v>
      </c>
    </row>
    <row r="31" spans="1:16" ht="12" customHeight="1" x14ac:dyDescent="0.2">
      <c r="A31" s="129" t="s">
        <v>148</v>
      </c>
      <c r="B31" s="60"/>
      <c r="C31" s="52"/>
      <c r="D31" s="52"/>
      <c r="E31" s="52"/>
      <c r="F31" s="53" t="s">
        <v>4</v>
      </c>
      <c r="G31" s="131">
        <f>SUMIF(Worksheet!$B$157:$B$175,$A31,Worksheet!I$157:I$175)</f>
        <v>0</v>
      </c>
      <c r="H31" s="132">
        <f>G31-SUM(I31:P31)</f>
        <v>0</v>
      </c>
      <c r="I31" s="131">
        <f>SUMIF(Worksheet!$B$157:$B$175,$A31,Worksheet!M$157:M$175)</f>
        <v>0</v>
      </c>
      <c r="J31" s="54"/>
      <c r="K31" s="131">
        <f>SUMIF(Worksheet!$B$157:$B$175,$A31,Worksheet!N$157:N$175)</f>
        <v>0</v>
      </c>
      <c r="L31" s="54"/>
      <c r="M31" s="131"/>
      <c r="N31" s="131">
        <f>SUMIF(Worksheet!$B$157:$B$175,$A31,Worksheet!O$157:O$175)</f>
        <v>0</v>
      </c>
      <c r="O31" s="131">
        <f>SUMIF(Worksheet!$B$157:$B$175,$A31,Worksheet!P$157:P$175)</f>
        <v>0</v>
      </c>
      <c r="P31" s="131">
        <f>SUMIF(Worksheet!$B$157:$B$175,$A31,Worksheet!Q$157:Q$175)</f>
        <v>0</v>
      </c>
    </row>
    <row r="32" spans="1:16" ht="12" customHeight="1" x14ac:dyDescent="0.2">
      <c r="A32" s="134"/>
      <c r="B32" s="60"/>
      <c r="C32" s="52"/>
      <c r="D32" s="52"/>
      <c r="E32" s="52" t="s">
        <v>8</v>
      </c>
      <c r="F32" s="53"/>
      <c r="G32" s="54">
        <f>SUM(G30:G31)</f>
        <v>0</v>
      </c>
      <c r="H32" s="54">
        <f t="shared" ref="H32:P32" si="4">SUM(H30:H31)</f>
        <v>0</v>
      </c>
      <c r="I32" s="54">
        <f t="shared" si="4"/>
        <v>0</v>
      </c>
      <c r="J32" s="54">
        <f t="shared" si="4"/>
        <v>0</v>
      </c>
      <c r="K32" s="54">
        <f t="shared" si="4"/>
        <v>0</v>
      </c>
      <c r="L32" s="54">
        <f t="shared" si="4"/>
        <v>0</v>
      </c>
      <c r="M32" s="54">
        <f t="shared" si="4"/>
        <v>0</v>
      </c>
      <c r="N32" s="54">
        <f t="shared" si="4"/>
        <v>0</v>
      </c>
      <c r="O32" s="54">
        <f t="shared" si="4"/>
        <v>0</v>
      </c>
      <c r="P32" s="54">
        <f t="shared" si="4"/>
        <v>0</v>
      </c>
    </row>
    <row r="33" spans="1:16" ht="12" customHeight="1" x14ac:dyDescent="0.2">
      <c r="A33" s="134"/>
      <c r="B33" s="60"/>
      <c r="C33" s="52"/>
      <c r="D33" s="52" t="s">
        <v>32</v>
      </c>
      <c r="E33" s="52"/>
      <c r="F33" s="53"/>
      <c r="G33" s="54">
        <f>G28+G32</f>
        <v>43427.35</v>
      </c>
      <c r="H33" s="54">
        <f t="shared" ref="H33:P33" si="5">H28+H32</f>
        <v>43245.900000039692</v>
      </c>
      <c r="I33" s="54">
        <f t="shared" si="5"/>
        <v>85.499999981296341</v>
      </c>
      <c r="J33" s="54">
        <f t="shared" si="5"/>
        <v>0</v>
      </c>
      <c r="K33" s="54">
        <f t="shared" si="5"/>
        <v>95.949999979010329</v>
      </c>
      <c r="L33" s="54">
        <f t="shared" si="5"/>
        <v>0</v>
      </c>
      <c r="M33" s="54">
        <f t="shared" si="5"/>
        <v>0</v>
      </c>
      <c r="N33" s="54">
        <f t="shared" si="5"/>
        <v>0</v>
      </c>
      <c r="O33" s="54">
        <f t="shared" si="5"/>
        <v>0</v>
      </c>
      <c r="P33" s="54">
        <f t="shared" si="5"/>
        <v>0</v>
      </c>
    </row>
    <row r="34" spans="1:16" ht="12" customHeight="1" x14ac:dyDescent="0.2">
      <c r="A34" s="129"/>
      <c r="B34" s="60"/>
      <c r="C34" s="52"/>
      <c r="D34" s="52" t="s">
        <v>33</v>
      </c>
      <c r="E34" s="52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t="12" customHeight="1" x14ac:dyDescent="0.2">
      <c r="A35" s="129"/>
      <c r="B35" s="60"/>
      <c r="C35" s="52"/>
      <c r="D35" s="52"/>
      <c r="E35" s="52" t="s">
        <v>3</v>
      </c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t="12" customHeight="1" x14ac:dyDescent="0.2">
      <c r="A36" s="129"/>
      <c r="B36" s="60"/>
      <c r="C36" s="52"/>
      <c r="D36" s="52"/>
      <c r="E36" s="52"/>
      <c r="F36" s="53" t="s">
        <v>37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t="12" customHeight="1" x14ac:dyDescent="0.2">
      <c r="A37" s="129"/>
      <c r="B37" s="60"/>
      <c r="C37" s="52"/>
      <c r="D37" s="52"/>
      <c r="E37" s="52"/>
      <c r="F37" s="53" t="s">
        <v>4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t="12" customHeight="1" x14ac:dyDescent="0.2">
      <c r="A38" s="134"/>
      <c r="B38" s="60"/>
      <c r="C38" s="52"/>
      <c r="D38" s="52"/>
      <c r="E38" s="52" t="s">
        <v>7</v>
      </c>
      <c r="F38" s="53"/>
      <c r="G38" s="54">
        <f>SUM(G36:G37)</f>
        <v>0</v>
      </c>
      <c r="H38" s="54">
        <f t="shared" ref="H38:P38" si="6">SUM(H36:H37)</f>
        <v>0</v>
      </c>
      <c r="I38" s="54">
        <f t="shared" si="6"/>
        <v>0</v>
      </c>
      <c r="J38" s="54">
        <f t="shared" si="6"/>
        <v>0</v>
      </c>
      <c r="K38" s="54">
        <f t="shared" si="6"/>
        <v>0</v>
      </c>
      <c r="L38" s="54">
        <f t="shared" si="6"/>
        <v>0</v>
      </c>
      <c r="M38" s="54">
        <f t="shared" si="6"/>
        <v>0</v>
      </c>
      <c r="N38" s="54">
        <f t="shared" si="6"/>
        <v>0</v>
      </c>
      <c r="O38" s="54">
        <f t="shared" si="6"/>
        <v>0</v>
      </c>
      <c r="P38" s="54">
        <f t="shared" si="6"/>
        <v>0</v>
      </c>
    </row>
    <row r="39" spans="1:16" ht="12" customHeight="1" x14ac:dyDescent="0.2">
      <c r="A39" s="129"/>
      <c r="B39" s="60"/>
      <c r="C39" s="52"/>
      <c r="D39" s="52"/>
      <c r="E39" s="52" t="s">
        <v>5</v>
      </c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t="12" customHeight="1" x14ac:dyDescent="0.2">
      <c r="A40" s="129"/>
      <c r="B40" s="60"/>
      <c r="C40" s="52"/>
      <c r="D40" s="52"/>
      <c r="E40" s="52"/>
      <c r="F40" s="53" t="s">
        <v>37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t="12" customHeight="1" x14ac:dyDescent="0.2">
      <c r="A41" s="129"/>
      <c r="B41" s="60"/>
      <c r="C41" s="52"/>
      <c r="D41" s="52"/>
      <c r="E41" s="52"/>
      <c r="F41" s="53" t="s">
        <v>4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t="12" customHeight="1" x14ac:dyDescent="0.2">
      <c r="A42" s="134"/>
      <c r="B42" s="60"/>
      <c r="C42" s="52"/>
      <c r="D42" s="52"/>
      <c r="E42" s="52" t="s">
        <v>8</v>
      </c>
      <c r="F42" s="53"/>
      <c r="G42" s="54">
        <f>SUM(G40:G41)</f>
        <v>0</v>
      </c>
      <c r="H42" s="54">
        <f t="shared" ref="H42:P42" si="7">SUM(H40:H41)</f>
        <v>0</v>
      </c>
      <c r="I42" s="54">
        <f t="shared" si="7"/>
        <v>0</v>
      </c>
      <c r="J42" s="54">
        <f t="shared" si="7"/>
        <v>0</v>
      </c>
      <c r="K42" s="54">
        <f t="shared" si="7"/>
        <v>0</v>
      </c>
      <c r="L42" s="54">
        <f t="shared" si="7"/>
        <v>0</v>
      </c>
      <c r="M42" s="54">
        <f t="shared" si="7"/>
        <v>0</v>
      </c>
      <c r="N42" s="54">
        <f t="shared" si="7"/>
        <v>0</v>
      </c>
      <c r="O42" s="54">
        <f t="shared" si="7"/>
        <v>0</v>
      </c>
      <c r="P42" s="54">
        <f t="shared" si="7"/>
        <v>0</v>
      </c>
    </row>
    <row r="43" spans="1:16" ht="12" customHeight="1" x14ac:dyDescent="0.2">
      <c r="A43" s="134"/>
      <c r="B43" s="60"/>
      <c r="C43" s="52"/>
      <c r="D43" s="52" t="s">
        <v>34</v>
      </c>
      <c r="E43" s="52"/>
      <c r="F43" s="53"/>
      <c r="G43" s="54">
        <f>G38+G42</f>
        <v>0</v>
      </c>
      <c r="H43" s="54">
        <f t="shared" ref="H43:P43" si="8">H38+H42</f>
        <v>0</v>
      </c>
      <c r="I43" s="54">
        <f t="shared" si="8"/>
        <v>0</v>
      </c>
      <c r="J43" s="54">
        <f t="shared" si="8"/>
        <v>0</v>
      </c>
      <c r="K43" s="54">
        <f t="shared" si="8"/>
        <v>0</v>
      </c>
      <c r="L43" s="54">
        <f t="shared" si="8"/>
        <v>0</v>
      </c>
      <c r="M43" s="54">
        <f t="shared" si="8"/>
        <v>0</v>
      </c>
      <c r="N43" s="54">
        <f t="shared" si="8"/>
        <v>0</v>
      </c>
      <c r="O43" s="54">
        <f t="shared" si="8"/>
        <v>0</v>
      </c>
      <c r="P43" s="54">
        <f t="shared" si="8"/>
        <v>0</v>
      </c>
    </row>
    <row r="44" spans="1:16" ht="12" customHeight="1" x14ac:dyDescent="0.2">
      <c r="A44" s="135"/>
      <c r="B44" s="55"/>
      <c r="C44" s="56" t="s">
        <v>80</v>
      </c>
      <c r="D44" s="56"/>
      <c r="E44" s="56"/>
      <c r="F44" s="57"/>
      <c r="G44" s="58">
        <f>G33+G43</f>
        <v>43427.35</v>
      </c>
      <c r="H44" s="58">
        <f t="shared" ref="H44:P44" si="9">H33+H43</f>
        <v>43245.900000039692</v>
      </c>
      <c r="I44" s="58">
        <f t="shared" si="9"/>
        <v>85.499999981296341</v>
      </c>
      <c r="J44" s="58">
        <f t="shared" si="9"/>
        <v>0</v>
      </c>
      <c r="K44" s="58">
        <f t="shared" si="9"/>
        <v>95.949999979010329</v>
      </c>
      <c r="L44" s="58">
        <f t="shared" si="9"/>
        <v>0</v>
      </c>
      <c r="M44" s="58">
        <f t="shared" si="9"/>
        <v>0</v>
      </c>
      <c r="N44" s="58">
        <f t="shared" si="9"/>
        <v>0</v>
      </c>
      <c r="O44" s="58">
        <f t="shared" si="9"/>
        <v>0</v>
      </c>
      <c r="P44" s="58">
        <f t="shared" si="9"/>
        <v>0</v>
      </c>
    </row>
    <row r="45" spans="1:16" ht="12" customHeight="1" x14ac:dyDescent="0.2">
      <c r="A45" s="137"/>
      <c r="B45" s="60"/>
      <c r="C45" s="209" t="s">
        <v>12</v>
      </c>
      <c r="D45" s="209"/>
      <c r="E45" s="209"/>
      <c r="F45" s="210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t="12" customHeight="1" x14ac:dyDescent="0.2">
      <c r="A46" s="129"/>
      <c r="B46" s="60"/>
      <c r="C46" s="52"/>
      <c r="D46" s="52" t="s">
        <v>3</v>
      </c>
      <c r="E46" s="52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t="12" customHeight="1" x14ac:dyDescent="0.2">
      <c r="A47" s="129"/>
      <c r="B47" s="60"/>
      <c r="C47" s="52"/>
      <c r="D47" s="52"/>
      <c r="E47" s="52" t="s">
        <v>10</v>
      </c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t="12" customHeight="1" x14ac:dyDescent="0.2">
      <c r="A48" s="129"/>
      <c r="B48" s="60"/>
      <c r="C48" s="52"/>
      <c r="D48" s="52"/>
      <c r="E48" s="52" t="s">
        <v>11</v>
      </c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t="12" customHeight="1" x14ac:dyDescent="0.2">
      <c r="A49" s="130" t="s">
        <v>149</v>
      </c>
      <c r="B49" s="60"/>
      <c r="C49" s="52"/>
      <c r="D49" s="52"/>
      <c r="E49" s="52" t="s">
        <v>37</v>
      </c>
      <c r="F49" s="53"/>
      <c r="G49" s="131">
        <f>SUMIF(Worksheet!$B$157:$B$175,$A49,Worksheet!I$157:I$175)</f>
        <v>2285.6500000000015</v>
      </c>
      <c r="H49" s="132">
        <f>G49-SUM(I49:P49)</f>
        <v>2276.1000000020904</v>
      </c>
      <c r="I49" s="131">
        <f>SUMIF(Worksheet!$B$157:$B$175,$A49,Worksheet!M$157:M$175)</f>
        <v>4.4999999990155999</v>
      </c>
      <c r="J49" s="54"/>
      <c r="K49" s="131">
        <f>SUMIF(Worksheet!$B$157:$B$175,$A49,Worksheet!N$157:N$175)</f>
        <v>5.0499999988952844</v>
      </c>
      <c r="L49" s="54"/>
      <c r="M49" s="131"/>
      <c r="N49" s="131">
        <f>SUMIF(Worksheet!$B$157:$B$175,$A49,Worksheet!O$157:O$175)</f>
        <v>0</v>
      </c>
      <c r="O49" s="131">
        <f>SUMIF(Worksheet!$B$157:$B$175,$A49,Worksheet!P$157:P$175)</f>
        <v>0</v>
      </c>
      <c r="P49" s="131">
        <f>SUMIF(Worksheet!$B$157:$B$175,$A49,Worksheet!Q$157:Q$175)</f>
        <v>0</v>
      </c>
    </row>
    <row r="50" spans="1:16" ht="12" customHeight="1" x14ac:dyDescent="0.2">
      <c r="A50" s="130" t="s">
        <v>150</v>
      </c>
      <c r="B50" s="60"/>
      <c r="C50" s="52"/>
      <c r="D50" s="52"/>
      <c r="E50" s="52" t="s">
        <v>4</v>
      </c>
      <c r="F50" s="53"/>
      <c r="G50" s="131">
        <f>SUMIF(Worksheet!$B$157:$B$175,$A50,Worksheet!I$157:I$175)</f>
        <v>0</v>
      </c>
      <c r="H50" s="132">
        <f>G50-SUM(I50:P50)</f>
        <v>0</v>
      </c>
      <c r="I50" s="131">
        <f>SUMIF(Worksheet!$B$157:$B$175,$A50,Worksheet!M$157:M$175)</f>
        <v>0</v>
      </c>
      <c r="J50" s="54"/>
      <c r="K50" s="131">
        <f>SUMIF(Worksheet!$B$157:$B$175,$A50,Worksheet!N$157:N$175)</f>
        <v>0</v>
      </c>
      <c r="L50" s="54"/>
      <c r="M50" s="131"/>
      <c r="N50" s="131">
        <f>SUMIF(Worksheet!$B$157:$B$175,$A50,Worksheet!O$157:O$175)</f>
        <v>0</v>
      </c>
      <c r="O50" s="131">
        <f>SUMIF(Worksheet!$B$157:$B$175,$A50,Worksheet!P$157:P$175)</f>
        <v>0</v>
      </c>
      <c r="P50" s="131">
        <f>SUMIF(Worksheet!$B$157:$B$175,$A50,Worksheet!Q$157:Q$175)</f>
        <v>0</v>
      </c>
    </row>
    <row r="51" spans="1:16" ht="12" customHeight="1" x14ac:dyDescent="0.2">
      <c r="A51" s="134"/>
      <c r="B51" s="60"/>
      <c r="C51" s="52"/>
      <c r="D51" s="52" t="s">
        <v>7</v>
      </c>
      <c r="E51" s="52"/>
      <c r="F51" s="53"/>
      <c r="G51" s="54">
        <f>SUM(G47:G50)</f>
        <v>2285.6500000000015</v>
      </c>
      <c r="H51" s="54">
        <f t="shared" ref="H51:P51" si="10">SUM(H47:H50)</f>
        <v>2276.1000000020904</v>
      </c>
      <c r="I51" s="54">
        <f t="shared" si="10"/>
        <v>4.4999999990155999</v>
      </c>
      <c r="J51" s="54">
        <f t="shared" si="10"/>
        <v>0</v>
      </c>
      <c r="K51" s="54">
        <f t="shared" si="10"/>
        <v>5.0499999988952844</v>
      </c>
      <c r="L51" s="54">
        <f t="shared" si="10"/>
        <v>0</v>
      </c>
      <c r="M51" s="54">
        <f t="shared" si="10"/>
        <v>0</v>
      </c>
      <c r="N51" s="54">
        <f t="shared" si="10"/>
        <v>0</v>
      </c>
      <c r="O51" s="54">
        <f t="shared" si="10"/>
        <v>0</v>
      </c>
      <c r="P51" s="54">
        <f t="shared" si="10"/>
        <v>0</v>
      </c>
    </row>
    <row r="52" spans="1:16" ht="12" customHeight="1" x14ac:dyDescent="0.2">
      <c r="A52" s="129"/>
      <c r="B52" s="60"/>
      <c r="C52" s="52"/>
      <c r="D52" s="52" t="s">
        <v>5</v>
      </c>
      <c r="E52" s="52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t="12" customHeight="1" x14ac:dyDescent="0.2">
      <c r="A53" s="129"/>
      <c r="B53" s="60"/>
      <c r="C53" s="52"/>
      <c r="D53" s="52"/>
      <c r="E53" s="52" t="s">
        <v>10</v>
      </c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t="12" customHeight="1" x14ac:dyDescent="0.2">
      <c r="A54" s="129"/>
      <c r="B54" s="60"/>
      <c r="C54" s="52"/>
      <c r="D54" s="52"/>
      <c r="E54" s="52" t="s">
        <v>11</v>
      </c>
      <c r="F54" s="53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t="12" customHeight="1" x14ac:dyDescent="0.2">
      <c r="A55" s="129" t="s">
        <v>151</v>
      </c>
      <c r="B55" s="60"/>
      <c r="C55" s="52"/>
      <c r="D55" s="52"/>
      <c r="E55" s="52" t="s">
        <v>37</v>
      </c>
      <c r="F55" s="53"/>
      <c r="G55" s="131">
        <f>SUMIF(Worksheet!$B$157:$B$175,$A55,Worksheet!I$157:I$175)</f>
        <v>0</v>
      </c>
      <c r="H55" s="132">
        <f>G55-SUM(I55:P55)</f>
        <v>0</v>
      </c>
      <c r="I55" s="131">
        <f>SUMIF(Worksheet!$B$157:$B$175,$A55,Worksheet!M$157:M$175)</f>
        <v>0</v>
      </c>
      <c r="J55" s="54"/>
      <c r="K55" s="131">
        <f>SUMIF(Worksheet!$B$157:$B$175,$A55,Worksheet!N$157:N$175)</f>
        <v>0</v>
      </c>
      <c r="L55" s="54"/>
      <c r="M55" s="131"/>
      <c r="N55" s="131">
        <f>SUMIF(Worksheet!$B$157:$B$175,$A55,Worksheet!O$157:O$175)</f>
        <v>0</v>
      </c>
      <c r="O55" s="131">
        <f>SUMIF(Worksheet!$B$157:$B$175,$A55,Worksheet!P$157:P$175)</f>
        <v>0</v>
      </c>
      <c r="P55" s="131">
        <f>SUMIF(Worksheet!$B$157:$B$175,$A55,Worksheet!Q$157:Q$175)</f>
        <v>0</v>
      </c>
    </row>
    <row r="56" spans="1:16" ht="12" customHeight="1" x14ac:dyDescent="0.2">
      <c r="A56" s="129" t="s">
        <v>152</v>
      </c>
      <c r="B56" s="60"/>
      <c r="C56" s="52"/>
      <c r="D56" s="52"/>
      <c r="E56" s="52" t="s">
        <v>4</v>
      </c>
      <c r="F56" s="53"/>
      <c r="G56" s="131">
        <f>SUMIF(Worksheet!$B$157:$B$175,$A56,Worksheet!I$157:I$175)</f>
        <v>0</v>
      </c>
      <c r="H56" s="132">
        <f>G56-SUM(I56:P56)</f>
        <v>0</v>
      </c>
      <c r="I56" s="131">
        <f>SUMIF(Worksheet!$B$157:$B$175,$A56,Worksheet!M$157:M$175)</f>
        <v>0</v>
      </c>
      <c r="J56" s="54"/>
      <c r="K56" s="131">
        <f>SUMIF(Worksheet!$B$157:$B$175,$A56,Worksheet!N$157:N$175)</f>
        <v>0</v>
      </c>
      <c r="L56" s="54"/>
      <c r="M56" s="131"/>
      <c r="N56" s="131">
        <f>SUMIF(Worksheet!$B$157:$B$175,$A56,Worksheet!O$157:O$175)</f>
        <v>0</v>
      </c>
      <c r="O56" s="131">
        <f>SUMIF(Worksheet!$B$157:$B$175,$A56,Worksheet!P$157:P$175)</f>
        <v>0</v>
      </c>
      <c r="P56" s="131">
        <f>SUMIF(Worksheet!$B$157:$B$175,$A56,Worksheet!Q$157:Q$175)</f>
        <v>0</v>
      </c>
    </row>
    <row r="57" spans="1:16" ht="12" customHeight="1" x14ac:dyDescent="0.2">
      <c r="A57" s="134"/>
      <c r="B57" s="60"/>
      <c r="C57" s="52"/>
      <c r="D57" s="52" t="s">
        <v>8</v>
      </c>
      <c r="E57" s="52"/>
      <c r="F57" s="53"/>
      <c r="G57" s="54">
        <f>SUM(G53:G56)</f>
        <v>0</v>
      </c>
      <c r="H57" s="54">
        <f t="shared" ref="H57:P57" si="11">SUM(H53:H56)</f>
        <v>0</v>
      </c>
      <c r="I57" s="54">
        <f t="shared" si="11"/>
        <v>0</v>
      </c>
      <c r="J57" s="54">
        <f t="shared" si="11"/>
        <v>0</v>
      </c>
      <c r="K57" s="54">
        <f t="shared" si="11"/>
        <v>0</v>
      </c>
      <c r="L57" s="54">
        <f t="shared" si="11"/>
        <v>0</v>
      </c>
      <c r="M57" s="54">
        <f t="shared" si="11"/>
        <v>0</v>
      </c>
      <c r="N57" s="54">
        <f t="shared" si="11"/>
        <v>0</v>
      </c>
      <c r="O57" s="54">
        <f t="shared" si="11"/>
        <v>0</v>
      </c>
      <c r="P57" s="54">
        <f t="shared" si="11"/>
        <v>0</v>
      </c>
    </row>
    <row r="58" spans="1:16" ht="12" customHeight="1" x14ac:dyDescent="0.2">
      <c r="A58" s="135"/>
      <c r="B58" s="55"/>
      <c r="C58" s="56" t="s">
        <v>13</v>
      </c>
      <c r="D58" s="56"/>
      <c r="E58" s="56"/>
      <c r="F58" s="57"/>
      <c r="G58" s="58">
        <f>G57+G51</f>
        <v>2285.6500000000015</v>
      </c>
      <c r="H58" s="58">
        <f t="shared" ref="H58:P58" si="12">H57+H51</f>
        <v>2276.1000000020904</v>
      </c>
      <c r="I58" s="58">
        <f t="shared" si="12"/>
        <v>4.4999999990155999</v>
      </c>
      <c r="J58" s="58">
        <f t="shared" si="12"/>
        <v>0</v>
      </c>
      <c r="K58" s="58">
        <f t="shared" si="12"/>
        <v>5.0499999988952844</v>
      </c>
      <c r="L58" s="58">
        <f t="shared" si="12"/>
        <v>0</v>
      </c>
      <c r="M58" s="58">
        <f t="shared" si="12"/>
        <v>0</v>
      </c>
      <c r="N58" s="58">
        <f t="shared" si="12"/>
        <v>0</v>
      </c>
      <c r="O58" s="58">
        <f t="shared" si="12"/>
        <v>0</v>
      </c>
      <c r="P58" s="58">
        <f t="shared" si="12"/>
        <v>0</v>
      </c>
    </row>
    <row r="59" spans="1:16" ht="19.5" customHeight="1" x14ac:dyDescent="0.25">
      <c r="A59" s="138"/>
      <c r="B59" s="117" t="str">
        <f>"Total "&amp;B3</f>
        <v>Total Work Plan 4</v>
      </c>
      <c r="C59" s="105"/>
      <c r="D59" s="105"/>
      <c r="E59" s="105"/>
      <c r="F59" s="106"/>
      <c r="G59" s="107">
        <f>G22+G44+G58</f>
        <v>45713</v>
      </c>
      <c r="H59" s="107">
        <f t="shared" ref="H59:P59" si="13">H22+H44+H58</f>
        <v>45522.000000041779</v>
      </c>
      <c r="I59" s="107">
        <f t="shared" si="13"/>
        <v>89.999999980311941</v>
      </c>
      <c r="J59" s="107">
        <f t="shared" si="13"/>
        <v>0</v>
      </c>
      <c r="K59" s="107">
        <f t="shared" si="13"/>
        <v>100.99999997790562</v>
      </c>
      <c r="L59" s="107">
        <f t="shared" si="13"/>
        <v>0</v>
      </c>
      <c r="M59" s="107">
        <f t="shared" si="13"/>
        <v>0</v>
      </c>
      <c r="N59" s="107">
        <f t="shared" si="13"/>
        <v>0</v>
      </c>
      <c r="O59" s="107">
        <f t="shared" si="13"/>
        <v>0</v>
      </c>
      <c r="P59" s="107">
        <f t="shared" si="13"/>
        <v>0</v>
      </c>
    </row>
    <row r="60" spans="1:16" x14ac:dyDescent="0.2">
      <c r="A60" s="94"/>
    </row>
    <row r="61" spans="1:16" x14ac:dyDescent="0.2">
      <c r="A61" s="94"/>
      <c r="B61" s="48" t="s">
        <v>153</v>
      </c>
      <c r="G61" s="94">
        <f>Worksheet!J153</f>
        <v>45713.000020000007</v>
      </c>
      <c r="H61" s="94">
        <f>Worksheet!L153</f>
        <v>45522</v>
      </c>
      <c r="I61" s="94">
        <f>Worksheet!M153</f>
        <v>90</v>
      </c>
      <c r="K61" s="94">
        <f>Worksheet!N153</f>
        <v>101</v>
      </c>
      <c r="N61" s="94">
        <f>Worksheet!O153</f>
        <v>0</v>
      </c>
      <c r="O61" s="94">
        <f>Worksheet!P153</f>
        <v>0</v>
      </c>
      <c r="P61" s="94">
        <f>Worksheet!Q153</f>
        <v>0</v>
      </c>
    </row>
    <row r="62" spans="1:16" x14ac:dyDescent="0.2">
      <c r="A62" s="94"/>
      <c r="B62" s="48" t="s">
        <v>132</v>
      </c>
      <c r="F62" s="232">
        <f>SUM(G62:P62)</f>
        <v>-2.0000010664489309E-5</v>
      </c>
      <c r="G62" s="94">
        <f>G59-G61</f>
        <v>-2.0000006770715117E-5</v>
      </c>
      <c r="H62" s="94">
        <f t="shared" ref="H62:P62" si="14">H59-H61</f>
        <v>4.1778548620641232E-8</v>
      </c>
      <c r="I62" s="94">
        <f t="shared" si="14"/>
        <v>-1.9688059182954021E-8</v>
      </c>
      <c r="J62" s="94">
        <f t="shared" si="14"/>
        <v>0</v>
      </c>
      <c r="K62" s="94">
        <f t="shared" si="14"/>
        <v>-2.2094383211879176E-8</v>
      </c>
      <c r="L62" s="94">
        <f t="shared" si="14"/>
        <v>0</v>
      </c>
      <c r="M62" s="94">
        <f t="shared" si="14"/>
        <v>0</v>
      </c>
      <c r="N62" s="94">
        <f t="shared" si="14"/>
        <v>0</v>
      </c>
      <c r="O62" s="94">
        <f t="shared" si="14"/>
        <v>0</v>
      </c>
      <c r="P62" s="94">
        <f t="shared" si="14"/>
        <v>0</v>
      </c>
    </row>
  </sheetData>
  <sheetProtection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25" right="0.25" top="0.75" bottom="0.25" header="0.5" footer="0"/>
  <pageSetup scale="61" orientation="portrait" r:id="rId1"/>
  <headerFooter alignWithMargins="0">
    <oddHeader>&amp;REnclosure 2</oddHeader>
    <oddFooter>&amp;LPage 4&amp;Rver 3 (12/2007)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>
    <pageSetUpPr fitToPage="1"/>
  </sheetPr>
  <dimension ref="A1:S62"/>
  <sheetViews>
    <sheetView topLeftCell="A47" zoomScale="80" zoomScaleNormal="80" workbookViewId="0">
      <selection activeCell="F62" sqref="F62"/>
    </sheetView>
  </sheetViews>
  <sheetFormatPr defaultColWidth="0" defaultRowHeight="15" zeroHeight="1" x14ac:dyDescent="0.2"/>
  <cols>
    <col min="1" max="1" width="6.7109375" style="155" customWidth="1"/>
    <col min="2" max="3" width="3.7109375" style="48" customWidth="1"/>
    <col min="4" max="4" width="8.5703125" style="48" customWidth="1"/>
    <col min="5" max="5" width="3.7109375" style="48" customWidth="1"/>
    <col min="6" max="6" width="45.85546875" style="48" customWidth="1"/>
    <col min="7" max="7" width="17.42578125" style="48" customWidth="1"/>
    <col min="8" max="8" width="12.7109375" style="48" customWidth="1"/>
    <col min="9" max="9" width="16" style="48" customWidth="1"/>
    <col min="10" max="10" width="16.5703125" style="48" customWidth="1"/>
    <col min="11" max="11" width="13.28515625" style="48" customWidth="1"/>
    <col min="12" max="12" width="14.7109375" style="48" customWidth="1"/>
    <col min="13" max="13" width="17" style="48" customWidth="1"/>
    <col min="14" max="14" width="17.42578125" style="48" customWidth="1"/>
    <col min="15" max="16" width="12.7109375" style="48" customWidth="1"/>
    <col min="17" max="19" width="12.7109375" hidden="1" customWidth="1"/>
  </cols>
  <sheetData>
    <row r="1" spans="1:19" ht="38.25" customHeight="1" x14ac:dyDescent="0.2">
      <c r="A1" s="234">
        <f>F62</f>
        <v>-2.0000007225462468E-5</v>
      </c>
      <c r="B1" s="173" t="str">
        <f>'CSS Pgm 1'!B1:$P$1</f>
        <v>Annual Mental Health Services Act Revenue and Expenditure Report for Fiscal Year 2007-08
Community Services and Supports (CSS) Programs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9" ht="16.5" customHeight="1" x14ac:dyDescent="0.25">
      <c r="B2" s="47" t="s">
        <v>28</v>
      </c>
      <c r="C2" s="47"/>
      <c r="D2" s="47"/>
      <c r="E2" s="226" t="str">
        <f>'CSS Pgm 1'!E2</f>
        <v>Santa Cruz</v>
      </c>
      <c r="F2" s="226"/>
      <c r="G2" s="74"/>
      <c r="H2" s="74"/>
      <c r="I2" s="74"/>
      <c r="J2" s="74"/>
      <c r="K2" s="74"/>
      <c r="L2" s="74"/>
      <c r="M2" s="74"/>
      <c r="N2" s="74"/>
      <c r="O2" s="49" t="s">
        <v>29</v>
      </c>
      <c r="P2" s="78" t="str">
        <f>Worksheet!$N$2</f>
        <v>10/7/09</v>
      </c>
    </row>
    <row r="3" spans="1:19" ht="24.75" customHeight="1" x14ac:dyDescent="0.25">
      <c r="B3" s="47" t="s">
        <v>223</v>
      </c>
      <c r="C3" s="47"/>
      <c r="D3" s="47"/>
      <c r="E3" s="224" t="str">
        <f>Worksheet!D183</f>
        <v>Special Focus - Family Partners Services</v>
      </c>
      <c r="F3" s="225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ht="12" customHeight="1" x14ac:dyDescent="0.2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s="3" customFormat="1" ht="15" customHeight="1" x14ac:dyDescent="0.25">
      <c r="A5" s="156"/>
      <c r="B5" s="174" t="s">
        <v>30</v>
      </c>
      <c r="C5" s="175"/>
      <c r="D5" s="175"/>
      <c r="E5" s="175"/>
      <c r="F5" s="176"/>
      <c r="G5" s="150" t="s">
        <v>19</v>
      </c>
      <c r="H5" s="151" t="s">
        <v>20</v>
      </c>
      <c r="I5" s="151" t="s">
        <v>27</v>
      </c>
      <c r="J5" s="151" t="s">
        <v>21</v>
      </c>
      <c r="K5" s="151" t="s">
        <v>22</v>
      </c>
      <c r="L5" s="151" t="s">
        <v>23</v>
      </c>
      <c r="M5" s="151" t="s">
        <v>24</v>
      </c>
      <c r="N5" s="151" t="s">
        <v>25</v>
      </c>
      <c r="O5" s="151" t="s">
        <v>26</v>
      </c>
      <c r="P5" s="151" t="s">
        <v>63</v>
      </c>
    </row>
    <row r="6" spans="1:19" s="3" customFormat="1" ht="15" customHeight="1" x14ac:dyDescent="0.2">
      <c r="A6" s="156"/>
      <c r="B6" s="177"/>
      <c r="C6" s="178"/>
      <c r="D6" s="178"/>
      <c r="E6" s="178"/>
      <c r="F6" s="179"/>
      <c r="G6" s="171" t="s">
        <v>6</v>
      </c>
      <c r="H6" s="201" t="s">
        <v>36</v>
      </c>
      <c r="I6" s="202"/>
      <c r="J6" s="202"/>
      <c r="K6" s="202"/>
      <c r="L6" s="202"/>
      <c r="M6" s="202"/>
      <c r="N6" s="202"/>
      <c r="O6" s="202"/>
      <c r="P6" s="203"/>
    </row>
    <row r="7" spans="1:19" s="154" customFormat="1" ht="42" customHeight="1" x14ac:dyDescent="0.2">
      <c r="A7" s="157"/>
      <c r="B7" s="180"/>
      <c r="C7" s="181"/>
      <c r="D7" s="181"/>
      <c r="E7" s="181"/>
      <c r="F7" s="182"/>
      <c r="G7" s="172"/>
      <c r="H7" s="119" t="s">
        <v>0</v>
      </c>
      <c r="I7" s="119" t="s">
        <v>35</v>
      </c>
      <c r="J7" s="119" t="s">
        <v>18</v>
      </c>
      <c r="K7" s="119" t="s">
        <v>1</v>
      </c>
      <c r="L7" s="119" t="s">
        <v>15</v>
      </c>
      <c r="M7" s="119" t="s">
        <v>16</v>
      </c>
      <c r="N7" s="119" t="s">
        <v>2</v>
      </c>
      <c r="O7" s="119" t="s">
        <v>17</v>
      </c>
      <c r="P7" s="97" t="s">
        <v>62</v>
      </c>
      <c r="Q7" s="153"/>
      <c r="R7" s="153"/>
      <c r="S7" s="153"/>
    </row>
    <row r="8" spans="1:19" ht="18" customHeight="1" x14ac:dyDescent="0.25">
      <c r="A8" s="146"/>
      <c r="B8" s="86" t="str">
        <f>B3</f>
        <v>Work Plan 5</v>
      </c>
      <c r="C8" s="87"/>
      <c r="D8" s="87"/>
      <c r="E8" s="87"/>
      <c r="F8" s="88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9" ht="12" customHeight="1" x14ac:dyDescent="0.2">
      <c r="A9" s="147"/>
      <c r="B9" s="60"/>
      <c r="C9" s="211" t="s">
        <v>85</v>
      </c>
      <c r="D9" s="211"/>
      <c r="E9" s="211"/>
      <c r="F9" s="212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9" ht="12" customHeight="1" x14ac:dyDescent="0.2">
      <c r="A10" s="158"/>
      <c r="B10" s="60"/>
      <c r="C10" s="52"/>
      <c r="D10" s="52" t="s">
        <v>3</v>
      </c>
      <c r="E10" s="52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9" ht="12" customHeight="1" x14ac:dyDescent="0.2">
      <c r="A11" s="158"/>
      <c r="B11" s="60"/>
      <c r="C11" s="52"/>
      <c r="D11" s="52"/>
      <c r="E11" s="52" t="s">
        <v>10</v>
      </c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9" ht="12" customHeight="1" x14ac:dyDescent="0.2">
      <c r="A12" s="158"/>
      <c r="B12" s="60"/>
      <c r="C12" s="52"/>
      <c r="D12" s="52"/>
      <c r="E12" s="52" t="s">
        <v>11</v>
      </c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9" ht="12" customHeight="1" x14ac:dyDescent="0.2">
      <c r="A13" s="148" t="s">
        <v>138</v>
      </c>
      <c r="B13" s="60"/>
      <c r="C13" s="52"/>
      <c r="D13" s="52"/>
      <c r="E13" s="52" t="s">
        <v>37</v>
      </c>
      <c r="F13" s="53"/>
      <c r="G13" s="131">
        <f>SUMIF(Worksheet!$B$193:$B$211,$A13,Worksheet!I$193:I$211)</f>
        <v>0</v>
      </c>
      <c r="H13" s="132">
        <f>G13-SUM(I13:P13)</f>
        <v>0</v>
      </c>
      <c r="I13" s="131">
        <f>SUMIF(Worksheet!$B$193:$B$211,$A13,Worksheet!M$193:M$211)</f>
        <v>0</v>
      </c>
      <c r="J13" s="54"/>
      <c r="K13" s="131">
        <f>SUMIF(Worksheet!$B$193:$B$211,$A13,Worksheet!N$193:N$211)</f>
        <v>0</v>
      </c>
      <c r="L13" s="54"/>
      <c r="M13" s="131"/>
      <c r="N13" s="131">
        <f>SUMIF(Worksheet!$B$193:$B$211,$A13,Worksheet!O$193:O$211)</f>
        <v>0</v>
      </c>
      <c r="O13" s="131">
        <f>SUMIF(Worksheet!$B$193:$B$211,$A13,Worksheet!P$193:P$211)</f>
        <v>0</v>
      </c>
      <c r="P13" s="131">
        <f>SUMIF(Worksheet!$B$193:$B$211,$A13,Worksheet!Q$193:Q$211)</f>
        <v>0</v>
      </c>
    </row>
    <row r="14" spans="1:19" ht="12" customHeight="1" x14ac:dyDescent="0.2">
      <c r="A14" s="148" t="s">
        <v>142</v>
      </c>
      <c r="B14" s="60"/>
      <c r="C14" s="52"/>
      <c r="D14" s="52"/>
      <c r="E14" s="52" t="s">
        <v>4</v>
      </c>
      <c r="F14" s="53"/>
      <c r="G14" s="131">
        <f>SUMIF(Worksheet!$B$193:$B$211,$A14,Worksheet!I$193:I$211)</f>
        <v>0</v>
      </c>
      <c r="H14" s="132">
        <f>G14-SUM(I14:P14)</f>
        <v>0</v>
      </c>
      <c r="I14" s="131">
        <f>SUMIF(Worksheet!$B$193:$B$211,$A14,Worksheet!M$193:M$211)</f>
        <v>0</v>
      </c>
      <c r="J14" s="54"/>
      <c r="K14" s="131">
        <f>SUMIF(Worksheet!$B$193:$B$211,$A14,Worksheet!N$193:N$211)</f>
        <v>0</v>
      </c>
      <c r="L14" s="54"/>
      <c r="M14" s="131"/>
      <c r="N14" s="131">
        <f>SUMIF(Worksheet!$B$193:$B$211,$A14,Worksheet!O$193:O$211)</f>
        <v>0</v>
      </c>
      <c r="O14" s="131">
        <f>SUMIF(Worksheet!$B$193:$B$211,$A14,Worksheet!P$193:P$211)</f>
        <v>0</v>
      </c>
      <c r="P14" s="131">
        <f>SUMIF(Worksheet!$B$193:$B$211,$A14,Worksheet!Q$193:Q$211)</f>
        <v>0</v>
      </c>
    </row>
    <row r="15" spans="1:19" ht="12" customHeight="1" x14ac:dyDescent="0.2">
      <c r="A15" s="159"/>
      <c r="B15" s="60"/>
      <c r="C15" s="52"/>
      <c r="D15" s="52" t="s">
        <v>7</v>
      </c>
      <c r="E15" s="52"/>
      <c r="F15" s="53"/>
      <c r="G15" s="54">
        <f>SUM(G11:G14)</f>
        <v>0</v>
      </c>
      <c r="H15" s="54">
        <f t="shared" ref="H15:P15" si="0">SUM(H11:H14)</f>
        <v>0</v>
      </c>
      <c r="I15" s="54">
        <f t="shared" si="0"/>
        <v>0</v>
      </c>
      <c r="J15" s="54">
        <f t="shared" si="0"/>
        <v>0</v>
      </c>
      <c r="K15" s="54">
        <f t="shared" si="0"/>
        <v>0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54">
        <f t="shared" si="0"/>
        <v>0</v>
      </c>
    </row>
    <row r="16" spans="1:19" ht="12" customHeight="1" x14ac:dyDescent="0.2">
      <c r="A16" s="158"/>
      <c r="B16" s="60"/>
      <c r="C16" s="52"/>
      <c r="D16" s="52" t="s">
        <v>5</v>
      </c>
      <c r="E16" s="52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12" customHeight="1" x14ac:dyDescent="0.2">
      <c r="A17" s="158"/>
      <c r="B17" s="60"/>
      <c r="C17" s="52"/>
      <c r="D17" s="52"/>
      <c r="E17" s="52" t="s">
        <v>10</v>
      </c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t="12" customHeight="1" x14ac:dyDescent="0.2">
      <c r="A18" s="158"/>
      <c r="B18" s="60"/>
      <c r="C18" s="52"/>
      <c r="D18" s="52"/>
      <c r="E18" s="52" t="s">
        <v>11</v>
      </c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t="12" customHeight="1" x14ac:dyDescent="0.2">
      <c r="A19" s="233" t="s">
        <v>143</v>
      </c>
      <c r="B19" s="60"/>
      <c r="C19" s="52"/>
      <c r="D19" s="52"/>
      <c r="E19" s="52" t="s">
        <v>37</v>
      </c>
      <c r="F19" s="53"/>
      <c r="G19" s="131">
        <f>SUMIF(Worksheet!$B$193:$B$211,$A19,Worksheet!I$193:I$211)</f>
        <v>0</v>
      </c>
      <c r="H19" s="132">
        <f>G19-SUM(I19:P19)</f>
        <v>0</v>
      </c>
      <c r="I19" s="131">
        <f>SUMIF(Worksheet!$B$193:$B$211,$A19,Worksheet!M$193:M$211)</f>
        <v>0</v>
      </c>
      <c r="J19" s="54"/>
      <c r="K19" s="131">
        <f>SUMIF(Worksheet!$B$193:$B$211,$A19,Worksheet!N$193:N$211)</f>
        <v>0</v>
      </c>
      <c r="L19" s="54"/>
      <c r="M19" s="131"/>
      <c r="N19" s="131">
        <f>SUMIF(Worksheet!$B$193:$B$211,$A19,Worksheet!O$193:O$211)</f>
        <v>0</v>
      </c>
      <c r="O19" s="131">
        <f>SUMIF(Worksheet!$B$193:$B$211,$A19,Worksheet!P$193:P$211)</f>
        <v>0</v>
      </c>
      <c r="P19" s="131">
        <f>SUMIF(Worksheet!$B$193:$B$211,$A19,Worksheet!Q$193:Q$211)</f>
        <v>0</v>
      </c>
    </row>
    <row r="20" spans="1:16" ht="12" customHeight="1" x14ac:dyDescent="0.2">
      <c r="A20" s="233" t="s">
        <v>144</v>
      </c>
      <c r="B20" s="60"/>
      <c r="C20" s="52"/>
      <c r="D20" s="52"/>
      <c r="E20" s="52" t="s">
        <v>4</v>
      </c>
      <c r="F20" s="53"/>
      <c r="G20" s="131">
        <f>SUMIF(Worksheet!$B$193:$B$211,$A20,Worksheet!I$193:I$211)</f>
        <v>0</v>
      </c>
      <c r="H20" s="132">
        <f>G20-SUM(I20:P20)</f>
        <v>0</v>
      </c>
      <c r="I20" s="131">
        <f>SUMIF(Worksheet!$B$193:$B$211,$A20,Worksheet!M$193:M$211)</f>
        <v>0</v>
      </c>
      <c r="J20" s="54"/>
      <c r="K20" s="131">
        <f>SUMIF(Worksheet!$B$193:$B$211,$A20,Worksheet!N$193:N$211)</f>
        <v>0</v>
      </c>
      <c r="L20" s="54"/>
      <c r="M20" s="131"/>
      <c r="N20" s="131">
        <f>SUMIF(Worksheet!$B$193:$B$211,$A20,Worksheet!O$193:O$211)</f>
        <v>0</v>
      </c>
      <c r="O20" s="131">
        <f>SUMIF(Worksheet!$B$193:$B$211,$A20,Worksheet!P$193:P$211)</f>
        <v>0</v>
      </c>
      <c r="P20" s="131">
        <f>SUMIF(Worksheet!$B$193:$B$211,$A20,Worksheet!Q$193:Q$211)</f>
        <v>0</v>
      </c>
    </row>
    <row r="21" spans="1:16" ht="12" customHeight="1" x14ac:dyDescent="0.2">
      <c r="A21" s="159"/>
      <c r="B21" s="60"/>
      <c r="C21" s="52"/>
      <c r="D21" s="52" t="s">
        <v>8</v>
      </c>
      <c r="E21" s="52"/>
      <c r="F21" s="53"/>
      <c r="G21" s="54">
        <f>SUM(G17:G20)</f>
        <v>0</v>
      </c>
      <c r="H21" s="54">
        <f t="shared" ref="H21:P21" si="1">SUM(H17:H20)</f>
        <v>0</v>
      </c>
      <c r="I21" s="54">
        <f t="shared" si="1"/>
        <v>0</v>
      </c>
      <c r="J21" s="54">
        <f t="shared" si="1"/>
        <v>0</v>
      </c>
      <c r="K21" s="54">
        <f t="shared" si="1"/>
        <v>0</v>
      </c>
      <c r="L21" s="54">
        <f t="shared" si="1"/>
        <v>0</v>
      </c>
      <c r="M21" s="54">
        <f t="shared" si="1"/>
        <v>0</v>
      </c>
      <c r="N21" s="54">
        <f t="shared" si="1"/>
        <v>0</v>
      </c>
      <c r="O21" s="54">
        <f t="shared" si="1"/>
        <v>0</v>
      </c>
      <c r="P21" s="54">
        <f t="shared" si="1"/>
        <v>0</v>
      </c>
    </row>
    <row r="22" spans="1:16" ht="12" customHeight="1" x14ac:dyDescent="0.2">
      <c r="A22" s="160"/>
      <c r="B22" s="55"/>
      <c r="C22" s="56" t="s">
        <v>9</v>
      </c>
      <c r="D22" s="56"/>
      <c r="E22" s="56"/>
      <c r="F22" s="57"/>
      <c r="G22" s="58">
        <f>G15+G21</f>
        <v>0</v>
      </c>
      <c r="H22" s="58">
        <f t="shared" ref="H22:P22" si="2">H15+H21</f>
        <v>0</v>
      </c>
      <c r="I22" s="58">
        <f t="shared" si="2"/>
        <v>0</v>
      </c>
      <c r="J22" s="58">
        <f t="shared" si="2"/>
        <v>0</v>
      </c>
      <c r="K22" s="58">
        <f t="shared" si="2"/>
        <v>0</v>
      </c>
      <c r="L22" s="58">
        <f t="shared" si="2"/>
        <v>0</v>
      </c>
      <c r="M22" s="58">
        <f t="shared" si="2"/>
        <v>0</v>
      </c>
      <c r="N22" s="58">
        <f t="shared" si="2"/>
        <v>0</v>
      </c>
      <c r="O22" s="58">
        <f t="shared" si="2"/>
        <v>0</v>
      </c>
      <c r="P22" s="58">
        <f t="shared" si="2"/>
        <v>0</v>
      </c>
    </row>
    <row r="23" spans="1:16" ht="12" customHeight="1" x14ac:dyDescent="0.2">
      <c r="A23" s="147"/>
      <c r="B23" s="60"/>
      <c r="C23" s="213" t="s">
        <v>79</v>
      </c>
      <c r="D23" s="213"/>
      <c r="E23" s="213"/>
      <c r="F23" s="21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t="12" customHeight="1" x14ac:dyDescent="0.2">
      <c r="A24" s="158"/>
      <c r="B24" s="60"/>
      <c r="C24" s="52"/>
      <c r="D24" s="52" t="s">
        <v>31</v>
      </c>
      <c r="E24" s="52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t="12" customHeight="1" x14ac:dyDescent="0.2">
      <c r="A25" s="158"/>
      <c r="B25" s="60"/>
      <c r="C25" s="52"/>
      <c r="D25" s="52"/>
      <c r="E25" s="52" t="s">
        <v>3</v>
      </c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t="12" customHeight="1" x14ac:dyDescent="0.2">
      <c r="A26" s="148" t="s">
        <v>145</v>
      </c>
      <c r="B26" s="60"/>
      <c r="C26" s="52"/>
      <c r="D26" s="52"/>
      <c r="E26" s="52"/>
      <c r="F26" s="53" t="s">
        <v>37</v>
      </c>
      <c r="G26" s="131">
        <f>SUMIF(Worksheet!$B$193:$B$211,$A26,Worksheet!I$193:I$211)</f>
        <v>0</v>
      </c>
      <c r="H26" s="132">
        <f>G26-SUM(I26:P26)</f>
        <v>0</v>
      </c>
      <c r="I26" s="131">
        <f>SUMIF(Worksheet!$B$193:$B$211,$A26,Worksheet!M$193:M$211)</f>
        <v>0</v>
      </c>
      <c r="J26" s="54"/>
      <c r="K26" s="131">
        <f>SUMIF(Worksheet!$B$193:$B$211,$A26,Worksheet!N$193:N$211)</f>
        <v>0</v>
      </c>
      <c r="L26" s="54"/>
      <c r="M26" s="131"/>
      <c r="N26" s="131">
        <f>SUMIF(Worksheet!$B$193:$B$211,$A26,Worksheet!O$193:O$211)</f>
        <v>0</v>
      </c>
      <c r="O26" s="131">
        <f>SUMIF(Worksheet!$B$193:$B$211,$A26,Worksheet!P$193:P$211)</f>
        <v>0</v>
      </c>
      <c r="P26" s="131">
        <f>SUMIF(Worksheet!$B$193:$B$211,$A26,Worksheet!Q$193:Q$211)</f>
        <v>0</v>
      </c>
    </row>
    <row r="27" spans="1:16" ht="12" customHeight="1" x14ac:dyDescent="0.2">
      <c r="A27" s="148" t="s">
        <v>146</v>
      </c>
      <c r="B27" s="60"/>
      <c r="C27" s="52"/>
      <c r="D27" s="52"/>
      <c r="E27" s="52"/>
      <c r="F27" s="53" t="s">
        <v>4</v>
      </c>
      <c r="G27" s="131">
        <f>SUMIF(Worksheet!$B$193:$B$211,$A27,Worksheet!I$193:I$211)</f>
        <v>0</v>
      </c>
      <c r="H27" s="132">
        <f>G27-SUM(I27:P27)</f>
        <v>0</v>
      </c>
      <c r="I27" s="131">
        <f>SUMIF(Worksheet!$B$193:$B$211,$A27,Worksheet!M$193:M$211)</f>
        <v>0</v>
      </c>
      <c r="J27" s="54"/>
      <c r="K27" s="131">
        <f>SUMIF(Worksheet!$B$193:$B$211,$A27,Worksheet!N$193:N$211)</f>
        <v>0</v>
      </c>
      <c r="L27" s="54"/>
      <c r="M27" s="131"/>
      <c r="N27" s="131">
        <f>SUMIF(Worksheet!$B$193:$B$211,$A27,Worksheet!O$193:O$211)</f>
        <v>0</v>
      </c>
      <c r="O27" s="131">
        <f>SUMIF(Worksheet!$B$193:$B$211,$A27,Worksheet!P$193:P$211)</f>
        <v>0</v>
      </c>
      <c r="P27" s="131">
        <f>SUMIF(Worksheet!$B$193:$B$211,$A27,Worksheet!Q$193:Q$211)</f>
        <v>0</v>
      </c>
    </row>
    <row r="28" spans="1:16" ht="12" customHeight="1" x14ac:dyDescent="0.2">
      <c r="A28" s="159"/>
      <c r="B28" s="60"/>
      <c r="C28" s="52"/>
      <c r="D28" s="52"/>
      <c r="E28" s="52" t="s">
        <v>7</v>
      </c>
      <c r="F28" s="53"/>
      <c r="G28" s="54">
        <f>SUM(G26:G27)</f>
        <v>0</v>
      </c>
      <c r="H28" s="54">
        <f t="shared" ref="H28:P28" si="3">SUM(H26:H27)</f>
        <v>0</v>
      </c>
      <c r="I28" s="54">
        <f t="shared" si="3"/>
        <v>0</v>
      </c>
      <c r="J28" s="54">
        <f t="shared" si="3"/>
        <v>0</v>
      </c>
      <c r="K28" s="54">
        <f t="shared" si="3"/>
        <v>0</v>
      </c>
      <c r="L28" s="54">
        <f t="shared" si="3"/>
        <v>0</v>
      </c>
      <c r="M28" s="54">
        <f t="shared" si="3"/>
        <v>0</v>
      </c>
      <c r="N28" s="54">
        <f t="shared" si="3"/>
        <v>0</v>
      </c>
      <c r="O28" s="54">
        <f t="shared" si="3"/>
        <v>0</v>
      </c>
      <c r="P28" s="54">
        <f t="shared" si="3"/>
        <v>0</v>
      </c>
    </row>
    <row r="29" spans="1:16" ht="12" customHeight="1" x14ac:dyDescent="0.2">
      <c r="A29" s="158"/>
      <c r="B29" s="60"/>
      <c r="C29" s="52"/>
      <c r="D29" s="52"/>
      <c r="E29" s="52" t="s">
        <v>5</v>
      </c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t="12" customHeight="1" x14ac:dyDescent="0.2">
      <c r="A30" s="233" t="s">
        <v>147</v>
      </c>
      <c r="B30" s="60"/>
      <c r="C30" s="52"/>
      <c r="D30" s="52"/>
      <c r="E30" s="52"/>
      <c r="F30" s="53" t="s">
        <v>37</v>
      </c>
      <c r="G30" s="131">
        <f>SUMIF(Worksheet!$B$193:$B$211,$A30,Worksheet!I$193:I$211)</f>
        <v>0</v>
      </c>
      <c r="H30" s="132">
        <f>G30-SUM(I30:P30)</f>
        <v>0</v>
      </c>
      <c r="I30" s="131">
        <f>SUMIF(Worksheet!$B$193:$B$211,$A30,Worksheet!M$193:M$211)</f>
        <v>0</v>
      </c>
      <c r="J30" s="54"/>
      <c r="K30" s="131">
        <f>SUMIF(Worksheet!$B$193:$B$211,$A30,Worksheet!N$193:N$211)</f>
        <v>0</v>
      </c>
      <c r="L30" s="54"/>
      <c r="M30" s="131"/>
      <c r="N30" s="131">
        <f>SUMIF(Worksheet!$B$193:$B$211,$A30,Worksheet!O$193:O$211)</f>
        <v>0</v>
      </c>
      <c r="O30" s="131">
        <f>SUMIF(Worksheet!$B$193:$B$211,$A30,Worksheet!P$193:P$211)</f>
        <v>0</v>
      </c>
      <c r="P30" s="131">
        <f>SUMIF(Worksheet!$B$193:$B$211,$A30,Worksheet!Q$193:Q$211)</f>
        <v>0</v>
      </c>
    </row>
    <row r="31" spans="1:16" ht="12" customHeight="1" x14ac:dyDescent="0.2">
      <c r="A31" s="233" t="s">
        <v>148</v>
      </c>
      <c r="B31" s="60"/>
      <c r="C31" s="52"/>
      <c r="D31" s="52"/>
      <c r="E31" s="52"/>
      <c r="F31" s="53" t="s">
        <v>4</v>
      </c>
      <c r="G31" s="131">
        <f>SUMIF(Worksheet!$B$193:$B$211,$A31,Worksheet!I$193:I$211)</f>
        <v>51890.5</v>
      </c>
      <c r="H31" s="132">
        <f>G31-SUM(I31:P31)</f>
        <v>47601.500000413274</v>
      </c>
      <c r="I31" s="131">
        <f>SUMIF(Worksheet!$B$193:$B$211,$A31,Worksheet!M$193:M$211)</f>
        <v>2031.499999804251</v>
      </c>
      <c r="J31" s="54"/>
      <c r="K31" s="131">
        <f>SUMIF(Worksheet!$B$193:$B$211,$A31,Worksheet!N$193:N$211)</f>
        <v>2257.4999997824743</v>
      </c>
      <c r="L31" s="54"/>
      <c r="M31" s="131"/>
      <c r="N31" s="131">
        <f>SUMIF(Worksheet!$B$193:$B$211,$A31,Worksheet!O$193:O$211)</f>
        <v>0</v>
      </c>
      <c r="O31" s="131">
        <f>SUMIF(Worksheet!$B$193:$B$211,$A31,Worksheet!P$193:P$211)</f>
        <v>0</v>
      </c>
      <c r="P31" s="131">
        <f>SUMIF(Worksheet!$B$193:$B$211,$A31,Worksheet!Q$193:Q$211)</f>
        <v>0</v>
      </c>
    </row>
    <row r="32" spans="1:16" ht="12" customHeight="1" x14ac:dyDescent="0.2">
      <c r="A32" s="159"/>
      <c r="B32" s="60"/>
      <c r="C32" s="52"/>
      <c r="D32" s="52"/>
      <c r="E32" s="52" t="s">
        <v>8</v>
      </c>
      <c r="F32" s="53"/>
      <c r="G32" s="54">
        <f>SUM(G30:G31)</f>
        <v>51890.5</v>
      </c>
      <c r="H32" s="54">
        <f t="shared" ref="H32:P32" si="4">SUM(H30:H31)</f>
        <v>47601.500000413274</v>
      </c>
      <c r="I32" s="54">
        <f t="shared" si="4"/>
        <v>2031.499999804251</v>
      </c>
      <c r="J32" s="54">
        <f t="shared" si="4"/>
        <v>0</v>
      </c>
      <c r="K32" s="54">
        <f t="shared" si="4"/>
        <v>2257.4999997824743</v>
      </c>
      <c r="L32" s="54">
        <f t="shared" si="4"/>
        <v>0</v>
      </c>
      <c r="M32" s="54">
        <f t="shared" si="4"/>
        <v>0</v>
      </c>
      <c r="N32" s="54">
        <f t="shared" si="4"/>
        <v>0</v>
      </c>
      <c r="O32" s="54">
        <f t="shared" si="4"/>
        <v>0</v>
      </c>
      <c r="P32" s="54">
        <f t="shared" si="4"/>
        <v>0</v>
      </c>
    </row>
    <row r="33" spans="1:16" ht="12" customHeight="1" x14ac:dyDescent="0.2">
      <c r="A33" s="159"/>
      <c r="B33" s="60"/>
      <c r="C33" s="52"/>
      <c r="D33" s="52" t="s">
        <v>32</v>
      </c>
      <c r="E33" s="52"/>
      <c r="F33" s="53"/>
      <c r="G33" s="54">
        <f>G28+G32</f>
        <v>51890.5</v>
      </c>
      <c r="H33" s="54">
        <f t="shared" ref="H33:P33" si="5">H28+H32</f>
        <v>47601.500000413274</v>
      </c>
      <c r="I33" s="54">
        <f t="shared" si="5"/>
        <v>2031.499999804251</v>
      </c>
      <c r="J33" s="54">
        <f t="shared" si="5"/>
        <v>0</v>
      </c>
      <c r="K33" s="54">
        <f t="shared" si="5"/>
        <v>2257.4999997824743</v>
      </c>
      <c r="L33" s="54">
        <f t="shared" si="5"/>
        <v>0</v>
      </c>
      <c r="M33" s="54">
        <f t="shared" si="5"/>
        <v>0</v>
      </c>
      <c r="N33" s="54">
        <f t="shared" si="5"/>
        <v>0</v>
      </c>
      <c r="O33" s="54">
        <f t="shared" si="5"/>
        <v>0</v>
      </c>
      <c r="P33" s="54">
        <f t="shared" si="5"/>
        <v>0</v>
      </c>
    </row>
    <row r="34" spans="1:16" ht="12" customHeight="1" x14ac:dyDescent="0.2">
      <c r="A34" s="158"/>
      <c r="B34" s="60"/>
      <c r="C34" s="52"/>
      <c r="D34" s="52" t="s">
        <v>33</v>
      </c>
      <c r="E34" s="52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t="12" customHeight="1" x14ac:dyDescent="0.2">
      <c r="A35" s="158"/>
      <c r="B35" s="60"/>
      <c r="C35" s="52"/>
      <c r="D35" s="52"/>
      <c r="E35" s="52" t="s">
        <v>3</v>
      </c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t="12" customHeight="1" x14ac:dyDescent="0.2">
      <c r="A36" s="158"/>
      <c r="B36" s="60"/>
      <c r="C36" s="52"/>
      <c r="D36" s="52"/>
      <c r="E36" s="52"/>
      <c r="F36" s="53" t="s">
        <v>37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t="12" customHeight="1" x14ac:dyDescent="0.2">
      <c r="A37" s="158"/>
      <c r="B37" s="60"/>
      <c r="C37" s="52"/>
      <c r="D37" s="52"/>
      <c r="E37" s="52"/>
      <c r="F37" s="53" t="s">
        <v>4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t="12" customHeight="1" x14ac:dyDescent="0.2">
      <c r="A38" s="159"/>
      <c r="B38" s="60"/>
      <c r="C38" s="52"/>
      <c r="D38" s="52"/>
      <c r="E38" s="52" t="s">
        <v>7</v>
      </c>
      <c r="F38" s="53"/>
      <c r="G38" s="54">
        <f>SUM(G36:G37)</f>
        <v>0</v>
      </c>
      <c r="H38" s="54">
        <f t="shared" ref="H38:P38" si="6">SUM(H36:H37)</f>
        <v>0</v>
      </c>
      <c r="I38" s="54">
        <f t="shared" si="6"/>
        <v>0</v>
      </c>
      <c r="J38" s="54">
        <f t="shared" si="6"/>
        <v>0</v>
      </c>
      <c r="K38" s="54">
        <f t="shared" si="6"/>
        <v>0</v>
      </c>
      <c r="L38" s="54">
        <f t="shared" si="6"/>
        <v>0</v>
      </c>
      <c r="M38" s="54">
        <f t="shared" si="6"/>
        <v>0</v>
      </c>
      <c r="N38" s="54">
        <f t="shared" si="6"/>
        <v>0</v>
      </c>
      <c r="O38" s="54">
        <f t="shared" si="6"/>
        <v>0</v>
      </c>
      <c r="P38" s="54">
        <f t="shared" si="6"/>
        <v>0</v>
      </c>
    </row>
    <row r="39" spans="1:16" ht="12" customHeight="1" x14ac:dyDescent="0.2">
      <c r="A39" s="158"/>
      <c r="B39" s="60"/>
      <c r="C39" s="52"/>
      <c r="D39" s="52"/>
      <c r="E39" s="52" t="s">
        <v>5</v>
      </c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t="12" customHeight="1" x14ac:dyDescent="0.2">
      <c r="A40" s="158"/>
      <c r="B40" s="60"/>
      <c r="C40" s="52"/>
      <c r="D40" s="52"/>
      <c r="E40" s="52"/>
      <c r="F40" s="53" t="s">
        <v>37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t="12" customHeight="1" x14ac:dyDescent="0.2">
      <c r="A41" s="158"/>
      <c r="B41" s="60"/>
      <c r="C41" s="52"/>
      <c r="D41" s="52"/>
      <c r="E41" s="52"/>
      <c r="F41" s="53" t="s">
        <v>4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t="12" customHeight="1" x14ac:dyDescent="0.2">
      <c r="A42" s="159"/>
      <c r="B42" s="60"/>
      <c r="C42" s="52"/>
      <c r="D42" s="52"/>
      <c r="E42" s="52" t="s">
        <v>8</v>
      </c>
      <c r="F42" s="53"/>
      <c r="G42" s="54">
        <f>SUM(G40:G41)</f>
        <v>0</v>
      </c>
      <c r="H42" s="54">
        <f t="shared" ref="H42:P42" si="7">SUM(H40:H41)</f>
        <v>0</v>
      </c>
      <c r="I42" s="54">
        <f t="shared" si="7"/>
        <v>0</v>
      </c>
      <c r="J42" s="54">
        <f t="shared" si="7"/>
        <v>0</v>
      </c>
      <c r="K42" s="54">
        <f t="shared" si="7"/>
        <v>0</v>
      </c>
      <c r="L42" s="54">
        <f t="shared" si="7"/>
        <v>0</v>
      </c>
      <c r="M42" s="54">
        <f t="shared" si="7"/>
        <v>0</v>
      </c>
      <c r="N42" s="54">
        <f t="shared" si="7"/>
        <v>0</v>
      </c>
      <c r="O42" s="54">
        <f t="shared" si="7"/>
        <v>0</v>
      </c>
      <c r="P42" s="54">
        <f t="shared" si="7"/>
        <v>0</v>
      </c>
    </row>
    <row r="43" spans="1:16" ht="12" customHeight="1" x14ac:dyDescent="0.2">
      <c r="A43" s="159"/>
      <c r="B43" s="60"/>
      <c r="C43" s="52"/>
      <c r="D43" s="52" t="s">
        <v>34</v>
      </c>
      <c r="E43" s="52"/>
      <c r="F43" s="53"/>
      <c r="G43" s="54">
        <f>G38+G42</f>
        <v>0</v>
      </c>
      <c r="H43" s="54">
        <f t="shared" ref="H43:P43" si="8">H38+H42</f>
        <v>0</v>
      </c>
      <c r="I43" s="54">
        <f t="shared" si="8"/>
        <v>0</v>
      </c>
      <c r="J43" s="54">
        <f t="shared" si="8"/>
        <v>0</v>
      </c>
      <c r="K43" s="54">
        <f t="shared" si="8"/>
        <v>0</v>
      </c>
      <c r="L43" s="54">
        <f t="shared" si="8"/>
        <v>0</v>
      </c>
      <c r="M43" s="54">
        <f t="shared" si="8"/>
        <v>0</v>
      </c>
      <c r="N43" s="54">
        <f t="shared" si="8"/>
        <v>0</v>
      </c>
      <c r="O43" s="54">
        <f t="shared" si="8"/>
        <v>0</v>
      </c>
      <c r="P43" s="54">
        <f t="shared" si="8"/>
        <v>0</v>
      </c>
    </row>
    <row r="44" spans="1:16" ht="12" customHeight="1" x14ac:dyDescent="0.2">
      <c r="A44" s="160"/>
      <c r="B44" s="55"/>
      <c r="C44" s="56" t="s">
        <v>80</v>
      </c>
      <c r="D44" s="56"/>
      <c r="E44" s="56"/>
      <c r="F44" s="57"/>
      <c r="G44" s="58">
        <f>G33+G43</f>
        <v>51890.5</v>
      </c>
      <c r="H44" s="58">
        <f t="shared" ref="H44:P44" si="9">H33+H43</f>
        <v>47601.500000413274</v>
      </c>
      <c r="I44" s="58">
        <f t="shared" si="9"/>
        <v>2031.499999804251</v>
      </c>
      <c r="J44" s="58">
        <f t="shared" si="9"/>
        <v>0</v>
      </c>
      <c r="K44" s="58">
        <f t="shared" si="9"/>
        <v>2257.4999997824743</v>
      </c>
      <c r="L44" s="58">
        <f t="shared" si="9"/>
        <v>0</v>
      </c>
      <c r="M44" s="58">
        <f t="shared" si="9"/>
        <v>0</v>
      </c>
      <c r="N44" s="58">
        <f t="shared" si="9"/>
        <v>0</v>
      </c>
      <c r="O44" s="58">
        <f t="shared" si="9"/>
        <v>0</v>
      </c>
      <c r="P44" s="58">
        <f t="shared" si="9"/>
        <v>0</v>
      </c>
    </row>
    <row r="45" spans="1:16" ht="12" customHeight="1" x14ac:dyDescent="0.2">
      <c r="A45" s="149"/>
      <c r="B45" s="60"/>
      <c r="C45" s="209" t="s">
        <v>12</v>
      </c>
      <c r="D45" s="209"/>
      <c r="E45" s="209"/>
      <c r="F45" s="210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t="12" customHeight="1" x14ac:dyDescent="0.2">
      <c r="A46" s="158"/>
      <c r="B46" s="60"/>
      <c r="C46" s="52"/>
      <c r="D46" s="52" t="s">
        <v>3</v>
      </c>
      <c r="E46" s="52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t="12" customHeight="1" x14ac:dyDescent="0.2">
      <c r="A47" s="158"/>
      <c r="B47" s="60"/>
      <c r="C47" s="52"/>
      <c r="D47" s="52"/>
      <c r="E47" s="52" t="s">
        <v>10</v>
      </c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t="12" customHeight="1" x14ac:dyDescent="0.2">
      <c r="A48" s="158"/>
      <c r="B48" s="60"/>
      <c r="C48" s="52"/>
      <c r="D48" s="52"/>
      <c r="E48" s="52" t="s">
        <v>11</v>
      </c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t="12" customHeight="1" x14ac:dyDescent="0.2">
      <c r="A49" s="148" t="s">
        <v>149</v>
      </c>
      <c r="B49" s="60"/>
      <c r="C49" s="52"/>
      <c r="D49" s="52"/>
      <c r="E49" s="52" t="s">
        <v>37</v>
      </c>
      <c r="F49" s="53"/>
      <c r="G49" s="131">
        <f>SUMIF(Worksheet!$B$193:$B$211,$A49,Worksheet!I$193:I$211)</f>
        <v>0</v>
      </c>
      <c r="H49" s="132">
        <f>G49-SUM(I49:P49)</f>
        <v>0</v>
      </c>
      <c r="I49" s="131">
        <f>SUMIF(Worksheet!$B$193:$B$211,$A49,Worksheet!M$193:M$211)</f>
        <v>0</v>
      </c>
      <c r="J49" s="54"/>
      <c r="K49" s="131">
        <f>SUMIF(Worksheet!$B$193:$B$211,$A49,Worksheet!N$193:N$211)</f>
        <v>0</v>
      </c>
      <c r="L49" s="54"/>
      <c r="M49" s="131"/>
      <c r="N49" s="131">
        <f>SUMIF(Worksheet!$B$193:$B$211,$A49,Worksheet!O$193:O$211)</f>
        <v>0</v>
      </c>
      <c r="O49" s="131">
        <f>SUMIF(Worksheet!$B$193:$B$211,$A49,Worksheet!P$193:P$211)</f>
        <v>0</v>
      </c>
      <c r="P49" s="131">
        <f>SUMIF(Worksheet!$B$193:$B$211,$A49,Worksheet!Q$193:Q$211)</f>
        <v>0</v>
      </c>
    </row>
    <row r="50" spans="1:16" ht="12" customHeight="1" x14ac:dyDescent="0.2">
      <c r="A50" s="148" t="s">
        <v>150</v>
      </c>
      <c r="B50" s="60"/>
      <c r="C50" s="52"/>
      <c r="D50" s="52"/>
      <c r="E50" s="52" t="s">
        <v>4</v>
      </c>
      <c r="F50" s="53"/>
      <c r="G50" s="131">
        <f>SUMIF(Worksheet!$B$193:$B$211,$A50,Worksheet!I$193:I$211)</f>
        <v>0</v>
      </c>
      <c r="H50" s="54"/>
      <c r="I50" s="131">
        <f>SUMIF(Worksheet!$B$193:$B$211,$A50,Worksheet!M$193:M$211)</f>
        <v>0</v>
      </c>
      <c r="J50" s="54"/>
      <c r="K50" s="131">
        <f>SUMIF(Worksheet!$B$193:$B$211,$A50,Worksheet!N$193:N$211)</f>
        <v>0</v>
      </c>
      <c r="L50" s="54"/>
      <c r="M50" s="131"/>
      <c r="N50" s="131">
        <f>SUMIF(Worksheet!$B$193:$B$211,$A50,Worksheet!O$193:O$211)</f>
        <v>0</v>
      </c>
      <c r="O50" s="131">
        <f>SUMIF(Worksheet!$B$193:$B$211,$A50,Worksheet!P$193:P$211)</f>
        <v>0</v>
      </c>
      <c r="P50" s="131">
        <f>SUMIF(Worksheet!$B$193:$B$211,$A50,Worksheet!Q$193:Q$211)</f>
        <v>0</v>
      </c>
    </row>
    <row r="51" spans="1:16" ht="12" customHeight="1" x14ac:dyDescent="0.2">
      <c r="A51" s="159"/>
      <c r="B51" s="60"/>
      <c r="C51" s="52"/>
      <c r="D51" s="52" t="s">
        <v>7</v>
      </c>
      <c r="E51" s="52"/>
      <c r="F51" s="53"/>
      <c r="G51" s="54">
        <f>SUM(G47:G50)</f>
        <v>0</v>
      </c>
      <c r="H51" s="54">
        <f t="shared" ref="H51:P51" si="10">SUM(H47:H50)</f>
        <v>0</v>
      </c>
      <c r="I51" s="54">
        <f t="shared" si="10"/>
        <v>0</v>
      </c>
      <c r="J51" s="54">
        <f t="shared" si="10"/>
        <v>0</v>
      </c>
      <c r="K51" s="54">
        <f t="shared" si="10"/>
        <v>0</v>
      </c>
      <c r="L51" s="54">
        <f t="shared" si="10"/>
        <v>0</v>
      </c>
      <c r="M51" s="54">
        <f t="shared" si="10"/>
        <v>0</v>
      </c>
      <c r="N51" s="54">
        <f t="shared" si="10"/>
        <v>0</v>
      </c>
      <c r="O51" s="54">
        <f t="shared" si="10"/>
        <v>0</v>
      </c>
      <c r="P51" s="54">
        <f t="shared" si="10"/>
        <v>0</v>
      </c>
    </row>
    <row r="52" spans="1:16" ht="12" customHeight="1" x14ac:dyDescent="0.2">
      <c r="A52" s="158"/>
      <c r="B52" s="60"/>
      <c r="C52" s="52"/>
      <c r="D52" s="52" t="s">
        <v>5</v>
      </c>
      <c r="E52" s="52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t="12" customHeight="1" x14ac:dyDescent="0.2">
      <c r="A53" s="158"/>
      <c r="B53" s="60"/>
      <c r="C53" s="52"/>
      <c r="D53" s="52"/>
      <c r="E53" s="52" t="s">
        <v>10</v>
      </c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t="12" customHeight="1" x14ac:dyDescent="0.2">
      <c r="A54" s="158"/>
      <c r="B54" s="60"/>
      <c r="C54" s="52"/>
      <c r="D54" s="52"/>
      <c r="E54" s="52" t="s">
        <v>11</v>
      </c>
      <c r="F54" s="53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t="12" customHeight="1" x14ac:dyDescent="0.2">
      <c r="A55" s="233" t="s">
        <v>151</v>
      </c>
      <c r="B55" s="60"/>
      <c r="C55" s="52"/>
      <c r="D55" s="52"/>
      <c r="E55" s="52" t="s">
        <v>37</v>
      </c>
      <c r="F55" s="53"/>
      <c r="G55" s="131">
        <f>SUMIF(Worksheet!$B$193:$B$211,$A55,Worksheet!I$193:I$211)</f>
        <v>0</v>
      </c>
      <c r="H55" s="132">
        <f>G55-SUM(I55:P55)</f>
        <v>0</v>
      </c>
      <c r="I55" s="131">
        <f>SUMIF(Worksheet!$B$193:$B$211,$A55,Worksheet!M$193:M$211)</f>
        <v>0</v>
      </c>
      <c r="J55" s="54"/>
      <c r="K55" s="131">
        <f>SUMIF(Worksheet!$B$193:$B$211,$A55,Worksheet!N$193:N$211)</f>
        <v>0</v>
      </c>
      <c r="L55" s="54"/>
      <c r="M55" s="131"/>
      <c r="N55" s="131">
        <f>SUMIF(Worksheet!$B$193:$B$211,$A55,Worksheet!O$193:O$211)</f>
        <v>0</v>
      </c>
      <c r="O55" s="131">
        <f>SUMIF(Worksheet!$B$193:$B$211,$A55,Worksheet!P$193:P$211)</f>
        <v>0</v>
      </c>
      <c r="P55" s="131">
        <f>SUMIF(Worksheet!$B$193:$B$211,$A55,Worksheet!Q$193:Q$211)</f>
        <v>0</v>
      </c>
    </row>
    <row r="56" spans="1:16" ht="12" customHeight="1" x14ac:dyDescent="0.2">
      <c r="A56" s="233" t="s">
        <v>152</v>
      </c>
      <c r="B56" s="60"/>
      <c r="C56" s="52"/>
      <c r="D56" s="52"/>
      <c r="E56" s="52" t="s">
        <v>4</v>
      </c>
      <c r="F56" s="53"/>
      <c r="G56" s="131">
        <f>SUMIF(Worksheet!$B$193:$B$211,$A56,Worksheet!I$193:I$211)</f>
        <v>51890.5</v>
      </c>
      <c r="H56" s="132">
        <f>G56-SUM(I56:P56)</f>
        <v>47601.500000413274</v>
      </c>
      <c r="I56" s="131">
        <f>SUMIF(Worksheet!$B$193:$B$211,$A56,Worksheet!M$193:M$211)</f>
        <v>2031.499999804251</v>
      </c>
      <c r="J56" s="54"/>
      <c r="K56" s="131">
        <f>SUMIF(Worksheet!$B$193:$B$211,$A56,Worksheet!N$193:N$211)</f>
        <v>2257.4999997824743</v>
      </c>
      <c r="L56" s="54"/>
      <c r="M56" s="131"/>
      <c r="N56" s="131">
        <f>SUMIF(Worksheet!$B$193:$B$211,$A56,Worksheet!O$193:O$211)</f>
        <v>0</v>
      </c>
      <c r="O56" s="131">
        <f>SUMIF(Worksheet!$B$193:$B$211,$A56,Worksheet!P$193:P$211)</f>
        <v>0</v>
      </c>
      <c r="P56" s="131">
        <f>SUMIF(Worksheet!$B$193:$B$211,$A56,Worksheet!Q$193:Q$211)</f>
        <v>0</v>
      </c>
    </row>
    <row r="57" spans="1:16" ht="12" customHeight="1" x14ac:dyDescent="0.2">
      <c r="A57" s="159"/>
      <c r="B57" s="60"/>
      <c r="C57" s="52"/>
      <c r="D57" s="52" t="s">
        <v>8</v>
      </c>
      <c r="E57" s="52"/>
      <c r="F57" s="53"/>
      <c r="G57" s="54">
        <f>SUM(G53:G56)</f>
        <v>51890.5</v>
      </c>
      <c r="H57" s="54">
        <f t="shared" ref="H57:P57" si="11">SUM(H53:H56)</f>
        <v>47601.500000413274</v>
      </c>
      <c r="I57" s="54">
        <f t="shared" si="11"/>
        <v>2031.499999804251</v>
      </c>
      <c r="J57" s="54">
        <f t="shared" si="11"/>
        <v>0</v>
      </c>
      <c r="K57" s="54">
        <f t="shared" si="11"/>
        <v>2257.4999997824743</v>
      </c>
      <c r="L57" s="54">
        <f t="shared" si="11"/>
        <v>0</v>
      </c>
      <c r="M57" s="54">
        <f t="shared" si="11"/>
        <v>0</v>
      </c>
      <c r="N57" s="54">
        <f t="shared" si="11"/>
        <v>0</v>
      </c>
      <c r="O57" s="54">
        <f t="shared" si="11"/>
        <v>0</v>
      </c>
      <c r="P57" s="54">
        <f t="shared" si="11"/>
        <v>0</v>
      </c>
    </row>
    <row r="58" spans="1:16" ht="12" customHeight="1" x14ac:dyDescent="0.2">
      <c r="A58" s="160"/>
      <c r="B58" s="55"/>
      <c r="C58" s="56" t="s">
        <v>13</v>
      </c>
      <c r="D58" s="56"/>
      <c r="E58" s="56"/>
      <c r="F58" s="57"/>
      <c r="G58" s="58">
        <f>G57+G51</f>
        <v>51890.5</v>
      </c>
      <c r="H58" s="58">
        <f t="shared" ref="H58:P58" si="12">H57+H51</f>
        <v>47601.500000413274</v>
      </c>
      <c r="I58" s="58">
        <f t="shared" si="12"/>
        <v>2031.499999804251</v>
      </c>
      <c r="J58" s="58">
        <f t="shared" si="12"/>
        <v>0</v>
      </c>
      <c r="K58" s="58">
        <f t="shared" si="12"/>
        <v>2257.4999997824743</v>
      </c>
      <c r="L58" s="58">
        <f t="shared" si="12"/>
        <v>0</v>
      </c>
      <c r="M58" s="58">
        <f t="shared" si="12"/>
        <v>0</v>
      </c>
      <c r="N58" s="58">
        <f t="shared" si="12"/>
        <v>0</v>
      </c>
      <c r="O58" s="58">
        <f t="shared" si="12"/>
        <v>0</v>
      </c>
      <c r="P58" s="58">
        <f t="shared" si="12"/>
        <v>0</v>
      </c>
    </row>
    <row r="59" spans="1:16" ht="18.75" customHeight="1" x14ac:dyDescent="0.25">
      <c r="A59" s="161"/>
      <c r="B59" s="117" t="str">
        <f>"Total "&amp;B3</f>
        <v>Total Work Plan 5</v>
      </c>
      <c r="C59" s="105"/>
      <c r="D59" s="105"/>
      <c r="E59" s="105"/>
      <c r="F59" s="106"/>
      <c r="G59" s="107">
        <f>G22+G44+G58</f>
        <v>103781</v>
      </c>
      <c r="H59" s="107">
        <f t="shared" ref="H59:P59" si="13">H22+H44+H58</f>
        <v>95203.000000826549</v>
      </c>
      <c r="I59" s="107">
        <f t="shared" si="13"/>
        <v>4062.9999996085021</v>
      </c>
      <c r="J59" s="107">
        <f t="shared" si="13"/>
        <v>0</v>
      </c>
      <c r="K59" s="107">
        <f t="shared" si="13"/>
        <v>4514.9999995649487</v>
      </c>
      <c r="L59" s="107">
        <f t="shared" si="13"/>
        <v>0</v>
      </c>
      <c r="M59" s="107">
        <f t="shared" si="13"/>
        <v>0</v>
      </c>
      <c r="N59" s="107">
        <f t="shared" si="13"/>
        <v>0</v>
      </c>
      <c r="O59" s="107">
        <f t="shared" si="13"/>
        <v>0</v>
      </c>
      <c r="P59" s="107">
        <f t="shared" si="13"/>
        <v>0</v>
      </c>
    </row>
    <row r="60" spans="1:16" x14ac:dyDescent="0.2">
      <c r="A60" s="162"/>
    </row>
    <row r="61" spans="1:16" x14ac:dyDescent="0.2">
      <c r="A61" s="162"/>
      <c r="B61" s="48" t="s">
        <v>153</v>
      </c>
      <c r="G61" s="94">
        <f>Worksheet!J189</f>
        <v>103781.00002000001</v>
      </c>
      <c r="H61" s="94">
        <f>Worksheet!L189</f>
        <v>95203</v>
      </c>
      <c r="I61" s="94">
        <f>Worksheet!M189</f>
        <v>4063</v>
      </c>
      <c r="K61" s="94">
        <f>Worksheet!N189</f>
        <v>4515</v>
      </c>
      <c r="N61" s="94">
        <f>Worksheet!O189</f>
        <v>0</v>
      </c>
      <c r="O61" s="94">
        <f>Worksheet!P189</f>
        <v>0</v>
      </c>
      <c r="P61" s="94">
        <f>Worksheet!Q189</f>
        <v>0</v>
      </c>
    </row>
    <row r="62" spans="1:16" x14ac:dyDescent="0.2">
      <c r="A62" s="162"/>
      <c r="B62" s="48" t="s">
        <v>132</v>
      </c>
      <c r="F62" s="232">
        <f>SUM(G62:P62)</f>
        <v>-2.0000007225462468E-5</v>
      </c>
      <c r="G62" s="94">
        <f>G59-G61</f>
        <v>-2.0000006770715117E-5</v>
      </c>
      <c r="H62" s="94">
        <f t="shared" ref="H62:P62" si="14">H59-H61</f>
        <v>8.2654878497123718E-7</v>
      </c>
      <c r="I62" s="94">
        <f t="shared" si="14"/>
        <v>-3.9149790609371848E-7</v>
      </c>
      <c r="J62" s="94">
        <f t="shared" si="14"/>
        <v>0</v>
      </c>
      <c r="K62" s="94">
        <f t="shared" si="14"/>
        <v>-4.3505133362486959E-7</v>
      </c>
      <c r="L62" s="94">
        <f t="shared" si="14"/>
        <v>0</v>
      </c>
      <c r="M62" s="94">
        <f t="shared" si="14"/>
        <v>0</v>
      </c>
      <c r="N62" s="94">
        <f t="shared" si="14"/>
        <v>0</v>
      </c>
      <c r="O62" s="94">
        <f t="shared" si="14"/>
        <v>0</v>
      </c>
      <c r="P62" s="94">
        <f t="shared" si="14"/>
        <v>0</v>
      </c>
    </row>
  </sheetData>
  <sheetProtection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25" right="0.25" top="0.75" bottom="0.25" header="0.5" footer="0"/>
  <pageSetup scale="61" orientation="portrait" r:id="rId1"/>
  <headerFooter alignWithMargins="0">
    <oddHeader>&amp;REnclosure 2</oddHeader>
    <oddFooter>&amp;LPage 5&amp;Rver 3 (12/2007)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>
    <pageSetUpPr fitToPage="1"/>
  </sheetPr>
  <dimension ref="A1:S62"/>
  <sheetViews>
    <sheetView topLeftCell="A48" zoomScale="80" zoomScaleNormal="80" workbookViewId="0">
      <selection activeCell="F62" activeCellId="3" sqref="A19:A20 A30:A31 A55:A56 F62"/>
    </sheetView>
  </sheetViews>
  <sheetFormatPr defaultColWidth="0" defaultRowHeight="15" zeroHeight="1" x14ac:dyDescent="0.2"/>
  <cols>
    <col min="1" max="2" width="5.42578125" style="48" customWidth="1"/>
    <col min="3" max="3" width="5.5703125" style="48" customWidth="1"/>
    <col min="4" max="4" width="7.28515625" style="48" customWidth="1"/>
    <col min="5" max="5" width="3.7109375" style="48" customWidth="1"/>
    <col min="6" max="6" width="27.5703125" style="48" customWidth="1"/>
    <col min="7" max="7" width="18.28515625" style="48" customWidth="1"/>
    <col min="8" max="8" width="12.7109375" style="48" customWidth="1"/>
    <col min="9" max="9" width="18.5703125" style="48" customWidth="1"/>
    <col min="10" max="10" width="17" style="48" customWidth="1"/>
    <col min="11" max="11" width="14.140625" style="48" customWidth="1"/>
    <col min="12" max="12" width="15" style="48" customWidth="1"/>
    <col min="13" max="13" width="21.28515625" style="48" customWidth="1"/>
    <col min="14" max="14" width="16.42578125" style="48" customWidth="1"/>
    <col min="15" max="15" width="14.28515625" style="48" customWidth="1"/>
    <col min="16" max="16" width="12.7109375" style="48" customWidth="1"/>
    <col min="17" max="19" width="12.7109375" hidden="1" customWidth="1"/>
  </cols>
  <sheetData>
    <row r="1" spans="1:19" ht="51" customHeight="1" x14ac:dyDescent="0.25">
      <c r="A1" s="231">
        <f>F62</f>
        <v>-1.9999977666884661E-5</v>
      </c>
      <c r="B1" s="227" t="str">
        <f>'CSS Pgm 1'!B1:$P$1</f>
        <v>Annual Mental Health Services Act Revenue and Expenditure Report for Fiscal Year 2007-08
Community Services and Supports (CSS) Programs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</row>
    <row r="2" spans="1:19" ht="22.5" customHeight="1" x14ac:dyDescent="0.25">
      <c r="A2" s="74"/>
      <c r="B2" s="47" t="s">
        <v>28</v>
      </c>
      <c r="C2" s="47"/>
      <c r="D2" s="47"/>
      <c r="E2" s="226" t="str">
        <f>'CSS Pgm 1'!E2</f>
        <v>Santa Cruz</v>
      </c>
      <c r="F2" s="226"/>
      <c r="G2" s="74"/>
      <c r="H2" s="74"/>
      <c r="I2" s="74"/>
      <c r="J2" s="74"/>
      <c r="K2" s="74"/>
      <c r="L2" s="74"/>
      <c r="M2" s="74"/>
      <c r="N2" s="74"/>
      <c r="O2" s="49" t="s">
        <v>29</v>
      </c>
      <c r="P2" s="78" t="str">
        <f>Worksheet!$N$2</f>
        <v>10/7/09</v>
      </c>
    </row>
    <row r="3" spans="1:19" ht="25.5" customHeight="1" x14ac:dyDescent="0.25">
      <c r="A3" s="74"/>
      <c r="B3" s="47" t="s">
        <v>224</v>
      </c>
      <c r="C3" s="47"/>
      <c r="D3" s="47"/>
      <c r="E3" s="224" t="str">
        <f>Worksheet!D219</f>
        <v>Enhanced Crisis Response</v>
      </c>
      <c r="F3" s="225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ht="12" customHeight="1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s="3" customFormat="1" ht="15" customHeight="1" x14ac:dyDescent="0.25">
      <c r="A5" s="163"/>
      <c r="B5" s="193" t="s">
        <v>30</v>
      </c>
      <c r="C5" s="194"/>
      <c r="D5" s="194"/>
      <c r="E5" s="194"/>
      <c r="F5" s="195"/>
      <c r="G5" s="150" t="s">
        <v>19</v>
      </c>
      <c r="H5" s="151" t="s">
        <v>20</v>
      </c>
      <c r="I5" s="151" t="s">
        <v>27</v>
      </c>
      <c r="J5" s="151" t="s">
        <v>21</v>
      </c>
      <c r="K5" s="151" t="s">
        <v>22</v>
      </c>
      <c r="L5" s="151" t="s">
        <v>23</v>
      </c>
      <c r="M5" s="151" t="s">
        <v>24</v>
      </c>
      <c r="N5" s="151" t="s">
        <v>25</v>
      </c>
      <c r="O5" s="151" t="s">
        <v>26</v>
      </c>
      <c r="P5" s="151" t="s">
        <v>63</v>
      </c>
    </row>
    <row r="6" spans="1:19" s="3" customFormat="1" ht="15" customHeight="1" x14ac:dyDescent="0.25">
      <c r="A6" s="163"/>
      <c r="B6" s="196"/>
      <c r="C6" s="197"/>
      <c r="D6" s="197"/>
      <c r="E6" s="197"/>
      <c r="F6" s="198"/>
      <c r="G6" s="171" t="s">
        <v>6</v>
      </c>
      <c r="H6" s="201" t="s">
        <v>36</v>
      </c>
      <c r="I6" s="202"/>
      <c r="J6" s="202"/>
      <c r="K6" s="202"/>
      <c r="L6" s="202"/>
      <c r="M6" s="202"/>
      <c r="N6" s="202"/>
      <c r="O6" s="202"/>
      <c r="P6" s="203"/>
    </row>
    <row r="7" spans="1:19" s="1" customFormat="1" ht="42" customHeight="1" x14ac:dyDescent="0.2">
      <c r="A7" s="164"/>
      <c r="B7" s="199"/>
      <c r="C7" s="184"/>
      <c r="D7" s="184"/>
      <c r="E7" s="184"/>
      <c r="F7" s="200"/>
      <c r="G7" s="172"/>
      <c r="H7" s="119" t="s">
        <v>0</v>
      </c>
      <c r="I7" s="119" t="s">
        <v>35</v>
      </c>
      <c r="J7" s="119" t="s">
        <v>18</v>
      </c>
      <c r="K7" s="119" t="s">
        <v>1</v>
      </c>
      <c r="L7" s="119" t="s">
        <v>15</v>
      </c>
      <c r="M7" s="119" t="s">
        <v>16</v>
      </c>
      <c r="N7" s="119" t="s">
        <v>2</v>
      </c>
      <c r="O7" s="119" t="s">
        <v>17</v>
      </c>
      <c r="P7" s="97" t="s">
        <v>62</v>
      </c>
      <c r="Q7" s="2"/>
      <c r="R7" s="2"/>
      <c r="S7" s="2"/>
    </row>
    <row r="8" spans="1:19" ht="24" customHeight="1" x14ac:dyDescent="0.25">
      <c r="A8" s="125"/>
      <c r="B8" s="86" t="str">
        <f>B3</f>
        <v>Work Plan 6</v>
      </c>
      <c r="C8" s="87"/>
      <c r="D8" s="87"/>
      <c r="E8" s="87"/>
      <c r="F8" s="88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9" ht="12" customHeight="1" x14ac:dyDescent="0.2">
      <c r="A9" s="127"/>
      <c r="B9" s="60"/>
      <c r="C9" s="211" t="s">
        <v>85</v>
      </c>
      <c r="D9" s="211"/>
      <c r="E9" s="211"/>
      <c r="F9" s="212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9" ht="12" customHeight="1" x14ac:dyDescent="0.2">
      <c r="A10" s="129"/>
      <c r="B10" s="60"/>
      <c r="C10" s="52"/>
      <c r="D10" s="52" t="s">
        <v>3</v>
      </c>
      <c r="E10" s="52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9" ht="12" customHeight="1" x14ac:dyDescent="0.2">
      <c r="A11" s="129"/>
      <c r="B11" s="60"/>
      <c r="C11" s="52"/>
      <c r="D11" s="52"/>
      <c r="E11" s="52" t="s">
        <v>10</v>
      </c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9" ht="12" customHeight="1" x14ac:dyDescent="0.2">
      <c r="A12" s="129"/>
      <c r="B12" s="60"/>
      <c r="C12" s="52"/>
      <c r="D12" s="52"/>
      <c r="E12" s="52" t="s">
        <v>11</v>
      </c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9" ht="12" customHeight="1" x14ac:dyDescent="0.2">
      <c r="A13" s="130" t="s">
        <v>138</v>
      </c>
      <c r="B13" s="60"/>
      <c r="C13" s="52"/>
      <c r="D13" s="52"/>
      <c r="E13" s="52" t="s">
        <v>37</v>
      </c>
      <c r="F13" s="53"/>
      <c r="G13" s="131">
        <f>SUMIF(Worksheet!$B$229:$B$247,$A13,Worksheet!I$229:I$247)</f>
        <v>0</v>
      </c>
      <c r="H13" s="132">
        <f>G13-SUM(I13:P13)</f>
        <v>0</v>
      </c>
      <c r="I13" s="131">
        <f>SUMIF(Worksheet!$B$229:$B$247,$A13,Worksheet!M$229:M$247)</f>
        <v>0</v>
      </c>
      <c r="J13" s="54"/>
      <c r="K13" s="131">
        <f>SUMIF(Worksheet!$B$229:$B$247,$A13,Worksheet!N$229:N$247)</f>
        <v>0</v>
      </c>
      <c r="L13" s="54"/>
      <c r="M13" s="131"/>
      <c r="N13" s="131">
        <f>SUMIF(Worksheet!$B$229:$B$247,$A13,Worksheet!O$229:O$247)</f>
        <v>0</v>
      </c>
      <c r="O13" s="131">
        <f>SUMIF(Worksheet!$B$229:$B$247,$A13,Worksheet!P$229:P$247)</f>
        <v>0</v>
      </c>
      <c r="P13" s="131">
        <f>SUMIF(Worksheet!$B$229:$B$247,$A13,Worksheet!Q$229:Q$247)</f>
        <v>0</v>
      </c>
    </row>
    <row r="14" spans="1:19" ht="12" customHeight="1" x14ac:dyDescent="0.2">
      <c r="A14" s="130" t="s">
        <v>142</v>
      </c>
      <c r="B14" s="60"/>
      <c r="C14" s="52"/>
      <c r="D14" s="52"/>
      <c r="E14" s="52" t="s">
        <v>4</v>
      </c>
      <c r="F14" s="53"/>
      <c r="G14" s="131">
        <f>SUMIF(Worksheet!$B$229:$B$247,$A14,Worksheet!I$229:I$247)</f>
        <v>0</v>
      </c>
      <c r="H14" s="132">
        <f>G14-SUM(I14:P14)</f>
        <v>0</v>
      </c>
      <c r="I14" s="131">
        <f>SUMIF(Worksheet!$B$229:$B$247,$A14,Worksheet!M$229:M$247)</f>
        <v>0</v>
      </c>
      <c r="J14" s="54"/>
      <c r="K14" s="131">
        <f>SUMIF(Worksheet!$B$229:$B$247,$A14,Worksheet!N$229:N$247)</f>
        <v>0</v>
      </c>
      <c r="L14" s="54"/>
      <c r="M14" s="131"/>
      <c r="N14" s="131">
        <f>SUMIF(Worksheet!$B$229:$B$247,$A14,Worksheet!O$229:O$247)</f>
        <v>0</v>
      </c>
      <c r="O14" s="131">
        <f>SUMIF(Worksheet!$B$229:$B$247,$A14,Worksheet!P$229:P$247)</f>
        <v>0</v>
      </c>
      <c r="P14" s="131">
        <f>SUMIF(Worksheet!$B$229:$B$247,$A14,Worksheet!Q$229:Q$247)</f>
        <v>0</v>
      </c>
    </row>
    <row r="15" spans="1:19" ht="12" customHeight="1" x14ac:dyDescent="0.2">
      <c r="A15" s="134"/>
      <c r="B15" s="60"/>
      <c r="C15" s="52"/>
      <c r="D15" s="52" t="s">
        <v>7</v>
      </c>
      <c r="E15" s="52"/>
      <c r="F15" s="53"/>
      <c r="G15" s="54">
        <f>SUM(G11:G14)</f>
        <v>0</v>
      </c>
      <c r="H15" s="54">
        <f t="shared" ref="H15:P15" si="0">SUM(H11:H14)</f>
        <v>0</v>
      </c>
      <c r="I15" s="54">
        <f t="shared" si="0"/>
        <v>0</v>
      </c>
      <c r="J15" s="54">
        <f t="shared" si="0"/>
        <v>0</v>
      </c>
      <c r="K15" s="54">
        <f t="shared" si="0"/>
        <v>0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54">
        <f t="shared" si="0"/>
        <v>0</v>
      </c>
    </row>
    <row r="16" spans="1:19" ht="12" customHeight="1" x14ac:dyDescent="0.2">
      <c r="A16" s="129"/>
      <c r="B16" s="60"/>
      <c r="C16" s="52"/>
      <c r="D16" s="52" t="s">
        <v>5</v>
      </c>
      <c r="E16" s="52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12" customHeight="1" x14ac:dyDescent="0.2">
      <c r="A17" s="129"/>
      <c r="B17" s="60"/>
      <c r="C17" s="52"/>
      <c r="D17" s="52"/>
      <c r="E17" s="52" t="s">
        <v>10</v>
      </c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t="12" customHeight="1" x14ac:dyDescent="0.2">
      <c r="A18" s="129"/>
      <c r="B18" s="60"/>
      <c r="C18" s="52"/>
      <c r="D18" s="52"/>
      <c r="E18" s="52" t="s">
        <v>11</v>
      </c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t="12" customHeight="1" x14ac:dyDescent="0.2">
      <c r="A19" s="129" t="s">
        <v>143</v>
      </c>
      <c r="B19" s="60"/>
      <c r="C19" s="52"/>
      <c r="D19" s="52"/>
      <c r="E19" s="52" t="s">
        <v>37</v>
      </c>
      <c r="F19" s="53"/>
      <c r="G19" s="131">
        <f>SUMIF(Worksheet!$B$229:$B$247,$A19,Worksheet!I$229:I$247)</f>
        <v>0</v>
      </c>
      <c r="H19" s="132">
        <f>G19-SUM(I19:P19)</f>
        <v>0</v>
      </c>
      <c r="I19" s="131">
        <f>SUMIF(Worksheet!$B$229:$B$247,$A19,Worksheet!M$229:M$247)</f>
        <v>0</v>
      </c>
      <c r="J19" s="54"/>
      <c r="K19" s="131">
        <f>SUMIF(Worksheet!$B$229:$B$247,$A19,Worksheet!N$229:N$247)</f>
        <v>0</v>
      </c>
      <c r="L19" s="54"/>
      <c r="M19" s="131"/>
      <c r="N19" s="131">
        <f>SUMIF(Worksheet!$B$229:$B$247,$A19,Worksheet!O$229:O$247)</f>
        <v>0</v>
      </c>
      <c r="O19" s="131">
        <f>SUMIF(Worksheet!$B$229:$B$247,$A19,Worksheet!P$229:P$247)</f>
        <v>0</v>
      </c>
      <c r="P19" s="131">
        <f>SUMIF(Worksheet!$B$229:$B$247,$A19,Worksheet!Q$229:Q$247)</f>
        <v>0</v>
      </c>
    </row>
    <row r="20" spans="1:16" ht="12" customHeight="1" x14ac:dyDescent="0.2">
      <c r="A20" s="129" t="s">
        <v>144</v>
      </c>
      <c r="B20" s="60"/>
      <c r="C20" s="52"/>
      <c r="D20" s="52"/>
      <c r="E20" s="52" t="s">
        <v>4</v>
      </c>
      <c r="F20" s="53"/>
      <c r="G20" s="131">
        <f>SUMIF(Worksheet!$B$229:$B$247,$A20,Worksheet!I$229:I$247)</f>
        <v>304810.2272189029</v>
      </c>
      <c r="H20" s="132">
        <f>G20-SUM(I20:P20)</f>
        <v>191939.34129735705</v>
      </c>
      <c r="I20" s="131">
        <f>SUMIF(Worksheet!$B$229:$B$247,$A20,Worksheet!M$229:M$247)</f>
        <v>0</v>
      </c>
      <c r="J20" s="54"/>
      <c r="K20" s="131">
        <f>SUMIF(Worksheet!$B$229:$B$247,$A20,Worksheet!N$229:N$247)</f>
        <v>112870.88592154587</v>
      </c>
      <c r="L20" s="54"/>
      <c r="M20" s="131"/>
      <c r="N20" s="131">
        <f>SUMIF(Worksheet!$B$229:$B$247,$A20,Worksheet!O$229:O$247)</f>
        <v>0</v>
      </c>
      <c r="O20" s="131">
        <f>SUMIF(Worksheet!$B$229:$B$247,$A20,Worksheet!P$229:P$247)</f>
        <v>0</v>
      </c>
      <c r="P20" s="131">
        <f>SUMIF(Worksheet!$B$229:$B$247,$A20,Worksheet!Q$229:Q$247)</f>
        <v>0</v>
      </c>
    </row>
    <row r="21" spans="1:16" ht="12" customHeight="1" x14ac:dyDescent="0.2">
      <c r="A21" s="134"/>
      <c r="B21" s="60"/>
      <c r="C21" s="52"/>
      <c r="D21" s="52" t="s">
        <v>8</v>
      </c>
      <c r="E21" s="52"/>
      <c r="F21" s="53"/>
      <c r="G21" s="54">
        <f>SUM(G17:G20)</f>
        <v>304810.2272189029</v>
      </c>
      <c r="H21" s="54">
        <f t="shared" ref="H21:P21" si="1">SUM(H17:H20)</f>
        <v>191939.34129735705</v>
      </c>
      <c r="I21" s="54">
        <f t="shared" si="1"/>
        <v>0</v>
      </c>
      <c r="J21" s="54">
        <f t="shared" si="1"/>
        <v>0</v>
      </c>
      <c r="K21" s="54">
        <f t="shared" si="1"/>
        <v>112870.88592154587</v>
      </c>
      <c r="L21" s="54">
        <f t="shared" si="1"/>
        <v>0</v>
      </c>
      <c r="M21" s="54">
        <f t="shared" si="1"/>
        <v>0</v>
      </c>
      <c r="N21" s="54">
        <f t="shared" si="1"/>
        <v>0</v>
      </c>
      <c r="O21" s="54">
        <f t="shared" si="1"/>
        <v>0</v>
      </c>
      <c r="P21" s="54">
        <f t="shared" si="1"/>
        <v>0</v>
      </c>
    </row>
    <row r="22" spans="1:16" ht="12" customHeight="1" x14ac:dyDescent="0.2">
      <c r="A22" s="135"/>
      <c r="B22" s="55"/>
      <c r="C22" s="56" t="s">
        <v>9</v>
      </c>
      <c r="D22" s="56"/>
      <c r="E22" s="56"/>
      <c r="F22" s="57"/>
      <c r="G22" s="58">
        <f>G15+G21</f>
        <v>304810.2272189029</v>
      </c>
      <c r="H22" s="58">
        <f t="shared" ref="H22:P22" si="2">H15+H21</f>
        <v>191939.34129735705</v>
      </c>
      <c r="I22" s="58">
        <f t="shared" si="2"/>
        <v>0</v>
      </c>
      <c r="J22" s="58">
        <f t="shared" si="2"/>
        <v>0</v>
      </c>
      <c r="K22" s="58">
        <f t="shared" si="2"/>
        <v>112870.88592154587</v>
      </c>
      <c r="L22" s="58">
        <f t="shared" si="2"/>
        <v>0</v>
      </c>
      <c r="M22" s="58">
        <f t="shared" si="2"/>
        <v>0</v>
      </c>
      <c r="N22" s="58">
        <f t="shared" si="2"/>
        <v>0</v>
      </c>
      <c r="O22" s="58">
        <f t="shared" si="2"/>
        <v>0</v>
      </c>
      <c r="P22" s="58">
        <f t="shared" si="2"/>
        <v>0</v>
      </c>
    </row>
    <row r="23" spans="1:16" ht="12" customHeight="1" x14ac:dyDescent="0.2">
      <c r="A23" s="127"/>
      <c r="B23" s="60"/>
      <c r="C23" s="213" t="s">
        <v>79</v>
      </c>
      <c r="D23" s="213"/>
      <c r="E23" s="213"/>
      <c r="F23" s="21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t="12" customHeight="1" x14ac:dyDescent="0.2">
      <c r="A24" s="129"/>
      <c r="B24" s="60"/>
      <c r="C24" s="52"/>
      <c r="D24" s="52" t="s">
        <v>31</v>
      </c>
      <c r="E24" s="52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t="12" customHeight="1" x14ac:dyDescent="0.2">
      <c r="A25" s="129"/>
      <c r="B25" s="60"/>
      <c r="C25" s="52"/>
      <c r="D25" s="52"/>
      <c r="E25" s="52" t="s">
        <v>3</v>
      </c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t="12" customHeight="1" x14ac:dyDescent="0.2">
      <c r="A26" s="130" t="s">
        <v>145</v>
      </c>
      <c r="B26" s="60"/>
      <c r="C26" s="52"/>
      <c r="D26" s="52"/>
      <c r="E26" s="52"/>
      <c r="F26" s="53" t="s">
        <v>37</v>
      </c>
      <c r="G26" s="131">
        <f>SUMIF(Worksheet!$B$229:$B$247,$A26,Worksheet!I$229:I$247)</f>
        <v>0</v>
      </c>
      <c r="H26" s="132">
        <f>G26-SUM(I26:P26)</f>
        <v>0</v>
      </c>
      <c r="I26" s="131">
        <f>SUMIF(Worksheet!$B$229:$B$247,$A26,Worksheet!M$229:M$247)</f>
        <v>0</v>
      </c>
      <c r="J26" s="54"/>
      <c r="K26" s="131">
        <f>SUMIF(Worksheet!$B$229:$B$247,$A26,Worksheet!N$229:N$247)</f>
        <v>0</v>
      </c>
      <c r="L26" s="54"/>
      <c r="M26" s="131"/>
      <c r="N26" s="131">
        <f>SUMIF(Worksheet!$B$229:$B$247,$A26,Worksheet!O$229:O$247)</f>
        <v>0</v>
      </c>
      <c r="O26" s="131">
        <f>SUMIF(Worksheet!$B$229:$B$247,$A26,Worksheet!P$229:P$247)</f>
        <v>0</v>
      </c>
      <c r="P26" s="131">
        <f>SUMIF(Worksheet!$B$229:$B$247,$A26,Worksheet!Q$229:Q$247)</f>
        <v>0</v>
      </c>
    </row>
    <row r="27" spans="1:16" ht="12" customHeight="1" x14ac:dyDescent="0.2">
      <c r="A27" s="130" t="s">
        <v>146</v>
      </c>
      <c r="B27" s="60"/>
      <c r="C27" s="52"/>
      <c r="D27" s="52"/>
      <c r="E27" s="52"/>
      <c r="F27" s="53" t="s">
        <v>4</v>
      </c>
      <c r="G27" s="131">
        <f>SUMIF(Worksheet!$B$229:$B$247,$A27,Worksheet!I$229:I$247)</f>
        <v>0</v>
      </c>
      <c r="H27" s="132">
        <f>G27-SUM(I27:P27)</f>
        <v>0</v>
      </c>
      <c r="I27" s="131">
        <f>SUMIF(Worksheet!$B$229:$B$247,$A27,Worksheet!M$229:M$247)</f>
        <v>0</v>
      </c>
      <c r="J27" s="54"/>
      <c r="K27" s="131">
        <f>SUMIF(Worksheet!$B$229:$B$247,$A27,Worksheet!N$229:N$247)</f>
        <v>0</v>
      </c>
      <c r="L27" s="54"/>
      <c r="M27" s="131"/>
      <c r="N27" s="131">
        <f>SUMIF(Worksheet!$B$229:$B$247,$A27,Worksheet!O$229:O$247)</f>
        <v>0</v>
      </c>
      <c r="O27" s="131">
        <f>SUMIF(Worksheet!$B$229:$B$247,$A27,Worksheet!P$229:P$247)</f>
        <v>0</v>
      </c>
      <c r="P27" s="131">
        <f>SUMIF(Worksheet!$B$229:$B$247,$A27,Worksheet!Q$229:Q$247)</f>
        <v>0</v>
      </c>
    </row>
    <row r="28" spans="1:16" ht="12" customHeight="1" x14ac:dyDescent="0.2">
      <c r="A28" s="134"/>
      <c r="B28" s="60"/>
      <c r="C28" s="52"/>
      <c r="D28" s="52"/>
      <c r="E28" s="52" t="s">
        <v>7</v>
      </c>
      <c r="F28" s="53"/>
      <c r="G28" s="54">
        <f>SUM(G26:G27)</f>
        <v>0</v>
      </c>
      <c r="H28" s="54">
        <f t="shared" ref="H28:P28" si="3">SUM(H26:H27)</f>
        <v>0</v>
      </c>
      <c r="I28" s="54">
        <f t="shared" si="3"/>
        <v>0</v>
      </c>
      <c r="J28" s="54">
        <f t="shared" si="3"/>
        <v>0</v>
      </c>
      <c r="K28" s="54">
        <f t="shared" si="3"/>
        <v>0</v>
      </c>
      <c r="L28" s="54">
        <f t="shared" si="3"/>
        <v>0</v>
      </c>
      <c r="M28" s="54">
        <f t="shared" si="3"/>
        <v>0</v>
      </c>
      <c r="N28" s="54">
        <f t="shared" si="3"/>
        <v>0</v>
      </c>
      <c r="O28" s="54">
        <f t="shared" si="3"/>
        <v>0</v>
      </c>
      <c r="P28" s="54">
        <f t="shared" si="3"/>
        <v>0</v>
      </c>
    </row>
    <row r="29" spans="1:16" ht="12" customHeight="1" x14ac:dyDescent="0.2">
      <c r="A29" s="129"/>
      <c r="B29" s="60"/>
      <c r="C29" s="52"/>
      <c r="D29" s="52"/>
      <c r="E29" s="52" t="s">
        <v>5</v>
      </c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t="12" customHeight="1" x14ac:dyDescent="0.2">
      <c r="A30" s="129" t="s">
        <v>147</v>
      </c>
      <c r="B30" s="60"/>
      <c r="C30" s="52"/>
      <c r="D30" s="52"/>
      <c r="E30" s="52"/>
      <c r="F30" s="53" t="s">
        <v>37</v>
      </c>
      <c r="G30" s="131">
        <f>SUMIF(Worksheet!$B$229:$B$247,$A30,Worksheet!I$229:I$247)</f>
        <v>0</v>
      </c>
      <c r="H30" s="132">
        <f>G30-SUM(I30:P30)</f>
        <v>0</v>
      </c>
      <c r="I30" s="131">
        <f>SUMIF(Worksheet!$B$229:$B$247,$A30,Worksheet!M$229:M$247)</f>
        <v>0</v>
      </c>
      <c r="J30" s="54"/>
      <c r="K30" s="131">
        <f>SUMIF(Worksheet!$B$229:$B$247,$A30,Worksheet!N$229:N$247)</f>
        <v>0</v>
      </c>
      <c r="L30" s="54"/>
      <c r="M30" s="131"/>
      <c r="N30" s="131">
        <f>SUMIF(Worksheet!$B$229:$B$247,$A30,Worksheet!O$229:O$247)</f>
        <v>0</v>
      </c>
      <c r="O30" s="131">
        <f>SUMIF(Worksheet!$B$229:$B$247,$A30,Worksheet!P$229:P$247)</f>
        <v>0</v>
      </c>
      <c r="P30" s="131">
        <f>SUMIF(Worksheet!$B$229:$B$247,$A30,Worksheet!Q$229:Q$247)</f>
        <v>0</v>
      </c>
    </row>
    <row r="31" spans="1:16" ht="12" customHeight="1" x14ac:dyDescent="0.2">
      <c r="A31" s="129" t="s">
        <v>148</v>
      </c>
      <c r="B31" s="60"/>
      <c r="C31" s="52"/>
      <c r="D31" s="52"/>
      <c r="E31" s="52"/>
      <c r="F31" s="53" t="s">
        <v>4</v>
      </c>
      <c r="G31" s="131">
        <f>SUMIF(Worksheet!$B$229:$B$247,$A31,Worksheet!I$229:I$247)</f>
        <v>566072.7727810971</v>
      </c>
      <c r="H31" s="132">
        <f>G31-SUM(I31:P31)</f>
        <v>356456.65870634594</v>
      </c>
      <c r="I31" s="131">
        <f>SUMIF(Worksheet!$B$229:$B$247,$A31,Worksheet!M$229:M$247)</f>
        <v>0</v>
      </c>
      <c r="J31" s="54"/>
      <c r="K31" s="131">
        <f>SUMIF(Worksheet!$B$229:$B$247,$A31,Worksheet!N$229:N$247)</f>
        <v>209616.11407475115</v>
      </c>
      <c r="L31" s="54"/>
      <c r="M31" s="131"/>
      <c r="N31" s="131">
        <f>SUMIF(Worksheet!$B$229:$B$247,$A31,Worksheet!O$229:O$247)</f>
        <v>0</v>
      </c>
      <c r="O31" s="131">
        <f>SUMIF(Worksheet!$B$229:$B$247,$A31,Worksheet!P$229:P$247)</f>
        <v>0</v>
      </c>
      <c r="P31" s="131">
        <f>SUMIF(Worksheet!$B$229:$B$247,$A31,Worksheet!Q$229:Q$247)</f>
        <v>0</v>
      </c>
    </row>
    <row r="32" spans="1:16" ht="12" customHeight="1" x14ac:dyDescent="0.2">
      <c r="A32" s="134"/>
      <c r="B32" s="60"/>
      <c r="C32" s="52"/>
      <c r="D32" s="52"/>
      <c r="E32" s="52" t="s">
        <v>8</v>
      </c>
      <c r="F32" s="53"/>
      <c r="G32" s="54">
        <f>SUM(G30:G31)</f>
        <v>566072.7727810971</v>
      </c>
      <c r="H32" s="54">
        <f t="shared" ref="H32:P32" si="4">SUM(H30:H31)</f>
        <v>356456.65870634594</v>
      </c>
      <c r="I32" s="54">
        <f t="shared" si="4"/>
        <v>0</v>
      </c>
      <c r="J32" s="54">
        <f t="shared" si="4"/>
        <v>0</v>
      </c>
      <c r="K32" s="54">
        <f t="shared" si="4"/>
        <v>209616.11407475115</v>
      </c>
      <c r="L32" s="54">
        <f t="shared" si="4"/>
        <v>0</v>
      </c>
      <c r="M32" s="54">
        <f t="shared" si="4"/>
        <v>0</v>
      </c>
      <c r="N32" s="54">
        <f t="shared" si="4"/>
        <v>0</v>
      </c>
      <c r="O32" s="54">
        <f t="shared" si="4"/>
        <v>0</v>
      </c>
      <c r="P32" s="54">
        <f t="shared" si="4"/>
        <v>0</v>
      </c>
    </row>
    <row r="33" spans="1:16" ht="12" customHeight="1" x14ac:dyDescent="0.2">
      <c r="A33" s="134"/>
      <c r="B33" s="60"/>
      <c r="C33" s="52"/>
      <c r="D33" s="52" t="s">
        <v>32</v>
      </c>
      <c r="E33" s="52"/>
      <c r="F33" s="53"/>
      <c r="G33" s="54">
        <f>G28+G32</f>
        <v>566072.7727810971</v>
      </c>
      <c r="H33" s="54">
        <f t="shared" ref="H33:P33" si="5">H28+H32</f>
        <v>356456.65870634594</v>
      </c>
      <c r="I33" s="54">
        <f t="shared" si="5"/>
        <v>0</v>
      </c>
      <c r="J33" s="54">
        <f t="shared" si="5"/>
        <v>0</v>
      </c>
      <c r="K33" s="54">
        <f t="shared" si="5"/>
        <v>209616.11407475115</v>
      </c>
      <c r="L33" s="54">
        <f t="shared" si="5"/>
        <v>0</v>
      </c>
      <c r="M33" s="54">
        <f t="shared" si="5"/>
        <v>0</v>
      </c>
      <c r="N33" s="54">
        <f t="shared" si="5"/>
        <v>0</v>
      </c>
      <c r="O33" s="54">
        <f t="shared" si="5"/>
        <v>0</v>
      </c>
      <c r="P33" s="54">
        <f t="shared" si="5"/>
        <v>0</v>
      </c>
    </row>
    <row r="34" spans="1:16" ht="12" customHeight="1" x14ac:dyDescent="0.2">
      <c r="A34" s="129"/>
      <c r="B34" s="60"/>
      <c r="C34" s="52"/>
      <c r="D34" s="52" t="s">
        <v>33</v>
      </c>
      <c r="E34" s="52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t="12" customHeight="1" x14ac:dyDescent="0.2">
      <c r="A35" s="129"/>
      <c r="B35" s="60"/>
      <c r="C35" s="52"/>
      <c r="D35" s="52"/>
      <c r="E35" s="52" t="s">
        <v>3</v>
      </c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t="12" customHeight="1" x14ac:dyDescent="0.2">
      <c r="A36" s="129"/>
      <c r="B36" s="60"/>
      <c r="C36" s="52"/>
      <c r="D36" s="52"/>
      <c r="E36" s="52"/>
      <c r="F36" s="53" t="s">
        <v>37</v>
      </c>
      <c r="G36" s="54"/>
      <c r="H36" s="54"/>
      <c r="I36" s="54"/>
      <c r="J36" s="54"/>
      <c r="K36" s="54"/>
      <c r="L36" s="54"/>
      <c r="M36" s="131"/>
      <c r="N36" s="131">
        <f>SUMIF(Worksheet!$B$229:$B$247,$A36,Worksheet!O$229:O$247)</f>
        <v>0</v>
      </c>
      <c r="O36" s="131">
        <f>SUMIF(Worksheet!$B$229:$B$247,$A36,Worksheet!P$229:P$247)</f>
        <v>0</v>
      </c>
      <c r="P36" s="131">
        <f>SUMIF(Worksheet!$B$229:$B$247,$A36,Worksheet!Q$229:Q$247)</f>
        <v>0</v>
      </c>
    </row>
    <row r="37" spans="1:16" ht="12" customHeight="1" x14ac:dyDescent="0.2">
      <c r="A37" s="129"/>
      <c r="B37" s="60"/>
      <c r="C37" s="52"/>
      <c r="D37" s="52"/>
      <c r="E37" s="52"/>
      <c r="F37" s="53" t="s">
        <v>4</v>
      </c>
      <c r="G37" s="54"/>
      <c r="H37" s="54"/>
      <c r="I37" s="54"/>
      <c r="J37" s="54"/>
      <c r="K37" s="54"/>
      <c r="L37" s="54"/>
      <c r="M37" s="131"/>
      <c r="N37" s="131">
        <f>SUMIF(Worksheet!$B$229:$B$247,$A37,Worksheet!O$229:O$247)</f>
        <v>0</v>
      </c>
      <c r="O37" s="131">
        <f>SUMIF(Worksheet!$B$229:$B$247,$A37,Worksheet!P$229:P$247)</f>
        <v>0</v>
      </c>
      <c r="P37" s="131">
        <f>SUMIF(Worksheet!$B$229:$B$247,$A37,Worksheet!Q$229:Q$247)</f>
        <v>0</v>
      </c>
    </row>
    <row r="38" spans="1:16" ht="12" customHeight="1" x14ac:dyDescent="0.2">
      <c r="A38" s="134"/>
      <c r="B38" s="60"/>
      <c r="C38" s="52"/>
      <c r="D38" s="52"/>
      <c r="E38" s="52" t="s">
        <v>7</v>
      </c>
      <c r="F38" s="53"/>
      <c r="G38" s="54">
        <f>SUM(G36:G37)</f>
        <v>0</v>
      </c>
      <c r="H38" s="54">
        <f t="shared" ref="H38:P38" si="6">SUM(H36:H37)</f>
        <v>0</v>
      </c>
      <c r="I38" s="54">
        <f t="shared" si="6"/>
        <v>0</v>
      </c>
      <c r="J38" s="54">
        <f t="shared" si="6"/>
        <v>0</v>
      </c>
      <c r="K38" s="54">
        <f t="shared" si="6"/>
        <v>0</v>
      </c>
      <c r="L38" s="54">
        <f t="shared" si="6"/>
        <v>0</v>
      </c>
      <c r="M38" s="54">
        <f t="shared" si="6"/>
        <v>0</v>
      </c>
      <c r="N38" s="54">
        <f t="shared" si="6"/>
        <v>0</v>
      </c>
      <c r="O38" s="54">
        <f t="shared" si="6"/>
        <v>0</v>
      </c>
      <c r="P38" s="54">
        <f t="shared" si="6"/>
        <v>0</v>
      </c>
    </row>
    <row r="39" spans="1:16" ht="12" customHeight="1" x14ac:dyDescent="0.2">
      <c r="A39" s="129"/>
      <c r="B39" s="60"/>
      <c r="C39" s="52"/>
      <c r="D39" s="52"/>
      <c r="E39" s="52" t="s">
        <v>5</v>
      </c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t="12" customHeight="1" x14ac:dyDescent="0.2">
      <c r="A40" s="129"/>
      <c r="B40" s="60"/>
      <c r="C40" s="52"/>
      <c r="D40" s="52"/>
      <c r="E40" s="52"/>
      <c r="F40" s="53" t="s">
        <v>37</v>
      </c>
      <c r="G40" s="54"/>
      <c r="H40" s="54"/>
      <c r="I40" s="54"/>
      <c r="J40" s="54"/>
      <c r="K40" s="54"/>
      <c r="L40" s="54"/>
      <c r="M40" s="131"/>
      <c r="N40" s="131">
        <f>SUMIF(Worksheet!$B$229:$B$247,$A40,Worksheet!O$229:O$247)</f>
        <v>0</v>
      </c>
      <c r="O40" s="131">
        <f>SUMIF(Worksheet!$B$229:$B$247,$A40,Worksheet!P$229:P$247)</f>
        <v>0</v>
      </c>
      <c r="P40" s="131">
        <f>SUMIF(Worksheet!$B$229:$B$247,$A40,Worksheet!Q$229:Q$247)</f>
        <v>0</v>
      </c>
    </row>
    <row r="41" spans="1:16" ht="12" customHeight="1" x14ac:dyDescent="0.2">
      <c r="A41" s="129"/>
      <c r="B41" s="60"/>
      <c r="C41" s="52"/>
      <c r="D41" s="52"/>
      <c r="E41" s="52"/>
      <c r="F41" s="53" t="s">
        <v>4</v>
      </c>
      <c r="G41" s="54"/>
      <c r="H41" s="54"/>
      <c r="I41" s="54"/>
      <c r="J41" s="54"/>
      <c r="K41" s="54"/>
      <c r="L41" s="54"/>
      <c r="M41" s="131"/>
      <c r="N41" s="131">
        <f>SUMIF(Worksheet!$B$229:$B$247,$A41,Worksheet!O$229:O$247)</f>
        <v>0</v>
      </c>
      <c r="O41" s="131">
        <f>SUMIF(Worksheet!$B$229:$B$247,$A41,Worksheet!P$229:P$247)</f>
        <v>0</v>
      </c>
      <c r="P41" s="131">
        <f>SUMIF(Worksheet!$B$229:$B$247,$A41,Worksheet!Q$229:Q$247)</f>
        <v>0</v>
      </c>
    </row>
    <row r="42" spans="1:16" ht="12" customHeight="1" x14ac:dyDescent="0.2">
      <c r="A42" s="134"/>
      <c r="B42" s="60"/>
      <c r="C42" s="52"/>
      <c r="D42" s="52"/>
      <c r="E42" s="52" t="s">
        <v>8</v>
      </c>
      <c r="F42" s="53"/>
      <c r="G42" s="54">
        <f>SUM(G40:G41)</f>
        <v>0</v>
      </c>
      <c r="H42" s="54">
        <f t="shared" ref="H42:P42" si="7">SUM(H40:H41)</f>
        <v>0</v>
      </c>
      <c r="I42" s="54">
        <f t="shared" si="7"/>
        <v>0</v>
      </c>
      <c r="J42" s="54">
        <f t="shared" si="7"/>
        <v>0</v>
      </c>
      <c r="K42" s="54">
        <f t="shared" si="7"/>
        <v>0</v>
      </c>
      <c r="L42" s="54">
        <f t="shared" si="7"/>
        <v>0</v>
      </c>
      <c r="M42" s="54">
        <f t="shared" si="7"/>
        <v>0</v>
      </c>
      <c r="N42" s="54">
        <f t="shared" si="7"/>
        <v>0</v>
      </c>
      <c r="O42" s="54">
        <f t="shared" si="7"/>
        <v>0</v>
      </c>
      <c r="P42" s="54">
        <f t="shared" si="7"/>
        <v>0</v>
      </c>
    </row>
    <row r="43" spans="1:16" ht="12" customHeight="1" x14ac:dyDescent="0.2">
      <c r="A43" s="134"/>
      <c r="B43" s="60"/>
      <c r="C43" s="52"/>
      <c r="D43" s="52" t="s">
        <v>34</v>
      </c>
      <c r="E43" s="52"/>
      <c r="F43" s="53"/>
      <c r="G43" s="54">
        <f>G38+G42</f>
        <v>0</v>
      </c>
      <c r="H43" s="54">
        <f t="shared" ref="H43:P43" si="8">H38+H42</f>
        <v>0</v>
      </c>
      <c r="I43" s="54">
        <f t="shared" si="8"/>
        <v>0</v>
      </c>
      <c r="J43" s="54">
        <f t="shared" si="8"/>
        <v>0</v>
      </c>
      <c r="K43" s="54">
        <f t="shared" si="8"/>
        <v>0</v>
      </c>
      <c r="L43" s="54">
        <f t="shared" si="8"/>
        <v>0</v>
      </c>
      <c r="M43" s="54">
        <f t="shared" si="8"/>
        <v>0</v>
      </c>
      <c r="N43" s="54">
        <f t="shared" si="8"/>
        <v>0</v>
      </c>
      <c r="O43" s="54">
        <f t="shared" si="8"/>
        <v>0</v>
      </c>
      <c r="P43" s="54">
        <f t="shared" si="8"/>
        <v>0</v>
      </c>
    </row>
    <row r="44" spans="1:16" ht="12" customHeight="1" x14ac:dyDescent="0.2">
      <c r="A44" s="135"/>
      <c r="B44" s="55"/>
      <c r="C44" s="56" t="s">
        <v>80</v>
      </c>
      <c r="D44" s="56"/>
      <c r="E44" s="56"/>
      <c r="F44" s="57"/>
      <c r="G44" s="58">
        <f>G33+G43</f>
        <v>566072.7727810971</v>
      </c>
      <c r="H44" s="58">
        <f t="shared" ref="H44:P44" si="9">H33+H43</f>
        <v>356456.65870634594</v>
      </c>
      <c r="I44" s="58">
        <f t="shared" si="9"/>
        <v>0</v>
      </c>
      <c r="J44" s="58">
        <f t="shared" si="9"/>
        <v>0</v>
      </c>
      <c r="K44" s="58">
        <f t="shared" si="9"/>
        <v>209616.11407475115</v>
      </c>
      <c r="L44" s="58">
        <f t="shared" si="9"/>
        <v>0</v>
      </c>
      <c r="M44" s="58">
        <f t="shared" si="9"/>
        <v>0</v>
      </c>
      <c r="N44" s="58">
        <f t="shared" si="9"/>
        <v>0</v>
      </c>
      <c r="O44" s="58">
        <f t="shared" si="9"/>
        <v>0</v>
      </c>
      <c r="P44" s="58">
        <f t="shared" si="9"/>
        <v>0</v>
      </c>
    </row>
    <row r="45" spans="1:16" ht="12" customHeight="1" x14ac:dyDescent="0.2">
      <c r="A45" s="137"/>
      <c r="B45" s="60"/>
      <c r="C45" s="209" t="s">
        <v>12</v>
      </c>
      <c r="D45" s="209"/>
      <c r="E45" s="209"/>
      <c r="F45" s="210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t="12" customHeight="1" x14ac:dyDescent="0.2">
      <c r="A46" s="129"/>
      <c r="B46" s="60"/>
      <c r="C46" s="52"/>
      <c r="D46" s="52" t="s">
        <v>3</v>
      </c>
      <c r="E46" s="52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t="12" customHeight="1" x14ac:dyDescent="0.2">
      <c r="A47" s="129"/>
      <c r="B47" s="60"/>
      <c r="C47" s="52"/>
      <c r="D47" s="52"/>
      <c r="E47" s="52" t="s">
        <v>10</v>
      </c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t="12" customHeight="1" x14ac:dyDescent="0.2">
      <c r="A48" s="129"/>
      <c r="B48" s="60"/>
      <c r="C48" s="52"/>
      <c r="D48" s="52"/>
      <c r="E48" s="52" t="s">
        <v>11</v>
      </c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t="12" customHeight="1" x14ac:dyDescent="0.2">
      <c r="A49" s="130" t="s">
        <v>149</v>
      </c>
      <c r="B49" s="60"/>
      <c r="C49" s="52"/>
      <c r="D49" s="52"/>
      <c r="E49" s="52" t="s">
        <v>37</v>
      </c>
      <c r="F49" s="53"/>
      <c r="G49" s="131">
        <f>SUMIF(Worksheet!$B$229:$B$247,$A49,Worksheet!I$229:I$247)</f>
        <v>0</v>
      </c>
      <c r="H49" s="132">
        <f>G49-SUM(I49:P49)</f>
        <v>0</v>
      </c>
      <c r="I49" s="131">
        <f>SUMIF(Worksheet!$B$229:$B$247,$A49,Worksheet!M$229:M$247)</f>
        <v>0</v>
      </c>
      <c r="J49" s="54"/>
      <c r="K49" s="131">
        <f>SUMIF(Worksheet!$B$229:$B$247,$A49,Worksheet!N$229:N$247)</f>
        <v>0</v>
      </c>
      <c r="L49" s="54"/>
      <c r="M49" s="131"/>
      <c r="N49" s="131">
        <f>SUMIF(Worksheet!$B$229:$B$247,$A49,Worksheet!O$229:O$247)</f>
        <v>0</v>
      </c>
      <c r="O49" s="131">
        <f>SUMIF(Worksheet!$B$229:$B$247,$A49,Worksheet!P$229:P$247)</f>
        <v>0</v>
      </c>
      <c r="P49" s="131">
        <f>SUMIF(Worksheet!$B$229:$B$247,$A49,Worksheet!Q$229:Q$247)</f>
        <v>0</v>
      </c>
    </row>
    <row r="50" spans="1:16" ht="12" customHeight="1" x14ac:dyDescent="0.2">
      <c r="A50" s="130" t="s">
        <v>150</v>
      </c>
      <c r="B50" s="60"/>
      <c r="C50" s="52"/>
      <c r="D50" s="52"/>
      <c r="E50" s="52" t="s">
        <v>4</v>
      </c>
      <c r="F50" s="53"/>
      <c r="G50" s="131">
        <f>SUMIF(Worksheet!$B$229:$B$247,$A50,Worksheet!I$229:I$247)</f>
        <v>0</v>
      </c>
      <c r="H50" s="132">
        <f>G50-SUM(I50:P50)</f>
        <v>0</v>
      </c>
      <c r="I50" s="131">
        <f>SUMIF(Worksheet!$B$229:$B$247,$A50,Worksheet!M$229:M$247)</f>
        <v>0</v>
      </c>
      <c r="J50" s="54"/>
      <c r="K50" s="131">
        <f>SUMIF(Worksheet!$B$229:$B$247,$A50,Worksheet!N$229:N$247)</f>
        <v>0</v>
      </c>
      <c r="L50" s="54"/>
      <c r="M50" s="131"/>
      <c r="N50" s="131">
        <f>SUMIF(Worksheet!$B$229:$B$247,$A50,Worksheet!O$229:O$247)</f>
        <v>0</v>
      </c>
      <c r="O50" s="131">
        <f>SUMIF(Worksheet!$B$229:$B$247,$A50,Worksheet!P$229:P$247)</f>
        <v>0</v>
      </c>
      <c r="P50" s="131">
        <f>SUMIF(Worksheet!$B$229:$B$247,$A50,Worksheet!Q$229:Q$247)</f>
        <v>0</v>
      </c>
    </row>
    <row r="51" spans="1:16" ht="12" customHeight="1" x14ac:dyDescent="0.2">
      <c r="A51" s="134"/>
      <c r="B51" s="60"/>
      <c r="C51" s="52"/>
      <c r="D51" s="52" t="s">
        <v>7</v>
      </c>
      <c r="E51" s="52"/>
      <c r="F51" s="53"/>
      <c r="G51" s="54">
        <f>SUM(G47:G50)</f>
        <v>0</v>
      </c>
      <c r="H51" s="54">
        <f t="shared" ref="H51:P51" si="10">SUM(H47:H50)</f>
        <v>0</v>
      </c>
      <c r="I51" s="54">
        <f t="shared" si="10"/>
        <v>0</v>
      </c>
      <c r="J51" s="54">
        <f t="shared" si="10"/>
        <v>0</v>
      </c>
      <c r="K51" s="54">
        <f t="shared" si="10"/>
        <v>0</v>
      </c>
      <c r="L51" s="54">
        <f t="shared" si="10"/>
        <v>0</v>
      </c>
      <c r="M51" s="54">
        <f t="shared" si="10"/>
        <v>0</v>
      </c>
      <c r="N51" s="54">
        <f t="shared" si="10"/>
        <v>0</v>
      </c>
      <c r="O51" s="54">
        <f t="shared" si="10"/>
        <v>0</v>
      </c>
      <c r="P51" s="54">
        <f t="shared" si="10"/>
        <v>0</v>
      </c>
    </row>
    <row r="52" spans="1:16" ht="12" customHeight="1" x14ac:dyDescent="0.2">
      <c r="A52" s="129"/>
      <c r="B52" s="60"/>
      <c r="C52" s="52"/>
      <c r="D52" s="52" t="s">
        <v>5</v>
      </c>
      <c r="E52" s="52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t="12" customHeight="1" x14ac:dyDescent="0.2">
      <c r="A53" s="129"/>
      <c r="B53" s="60"/>
      <c r="C53" s="52"/>
      <c r="D53" s="52"/>
      <c r="E53" s="52" t="s">
        <v>10</v>
      </c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t="12" customHeight="1" x14ac:dyDescent="0.2">
      <c r="A54" s="129"/>
      <c r="B54" s="60"/>
      <c r="C54" s="52"/>
      <c r="D54" s="52"/>
      <c r="E54" s="52" t="s">
        <v>11</v>
      </c>
      <c r="F54" s="53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t="12" customHeight="1" x14ac:dyDescent="0.2">
      <c r="A55" s="129" t="s">
        <v>151</v>
      </c>
      <c r="B55" s="60"/>
      <c r="C55" s="52"/>
      <c r="D55" s="52"/>
      <c r="E55" s="52" t="s">
        <v>37</v>
      </c>
      <c r="F55" s="53"/>
      <c r="G55" s="131">
        <f>SUMIF(Worksheet!$B$229:$B$247,$A55,Worksheet!I$229:I$247)</f>
        <v>0</v>
      </c>
      <c r="H55" s="132">
        <f>G55-SUM(I55:P55)</f>
        <v>0</v>
      </c>
      <c r="I55" s="131">
        <f>SUMIF(Worksheet!$B$229:$B$247,$A55,Worksheet!M$229:M$247)</f>
        <v>0</v>
      </c>
      <c r="J55" s="54"/>
      <c r="K55" s="131">
        <f>SUMIF(Worksheet!$B$229:$B$247,$A55,Worksheet!N$229:N$247)</f>
        <v>0</v>
      </c>
      <c r="L55" s="54"/>
      <c r="M55" s="131"/>
      <c r="N55" s="131">
        <f>SUMIF(Worksheet!$B$229:$B$247,$A55,Worksheet!O$229:O$247)</f>
        <v>0</v>
      </c>
      <c r="O55" s="131">
        <f>SUMIF(Worksheet!$B$229:$B$247,$A55,Worksheet!P$229:P$247)</f>
        <v>0</v>
      </c>
      <c r="P55" s="131">
        <f>SUMIF(Worksheet!$B$229:$B$247,$A55,Worksheet!Q$229:Q$247)</f>
        <v>0</v>
      </c>
    </row>
    <row r="56" spans="1:16" ht="12" customHeight="1" x14ac:dyDescent="0.2">
      <c r="A56" s="129" t="s">
        <v>152</v>
      </c>
      <c r="B56" s="60"/>
      <c r="C56" s="52"/>
      <c r="D56" s="52"/>
      <c r="E56" s="52" t="s">
        <v>4</v>
      </c>
      <c r="F56" s="53"/>
      <c r="G56" s="131">
        <f>SUMIF(Worksheet!$B$229:$B$247,$A56,Worksheet!I$229:I$247)</f>
        <v>0</v>
      </c>
      <c r="H56" s="132">
        <f>G56-SUM(I56:P56)</f>
        <v>0</v>
      </c>
      <c r="I56" s="131">
        <f>SUMIF(Worksheet!$B$229:$B$247,$A56,Worksheet!M$229:M$247)</f>
        <v>0</v>
      </c>
      <c r="J56" s="54"/>
      <c r="K56" s="131">
        <f>SUMIF(Worksheet!$B$229:$B$247,$A56,Worksheet!N$229:N$247)</f>
        <v>0</v>
      </c>
      <c r="L56" s="54"/>
      <c r="M56" s="131"/>
      <c r="N56" s="131">
        <f>SUMIF(Worksheet!$B$229:$B$247,$A56,Worksheet!O$229:O$247)</f>
        <v>0</v>
      </c>
      <c r="O56" s="131">
        <f>SUMIF(Worksheet!$B$229:$B$247,$A56,Worksheet!P$229:P$247)</f>
        <v>0</v>
      </c>
      <c r="P56" s="131">
        <f>SUMIF(Worksheet!$B$229:$B$247,$A56,Worksheet!Q$229:Q$247)</f>
        <v>0</v>
      </c>
    </row>
    <row r="57" spans="1:16" ht="12" customHeight="1" x14ac:dyDescent="0.2">
      <c r="A57" s="134"/>
      <c r="B57" s="60"/>
      <c r="C57" s="52"/>
      <c r="D57" s="52" t="s">
        <v>8</v>
      </c>
      <c r="E57" s="52"/>
      <c r="F57" s="53"/>
      <c r="G57" s="54">
        <f>SUM(G53:G56)</f>
        <v>0</v>
      </c>
      <c r="H57" s="54">
        <f t="shared" ref="H57:P57" si="11">SUM(H53:H56)</f>
        <v>0</v>
      </c>
      <c r="I57" s="54">
        <f t="shared" si="11"/>
        <v>0</v>
      </c>
      <c r="J57" s="54">
        <f t="shared" si="11"/>
        <v>0</v>
      </c>
      <c r="K57" s="54">
        <f t="shared" si="11"/>
        <v>0</v>
      </c>
      <c r="L57" s="54">
        <f t="shared" si="11"/>
        <v>0</v>
      </c>
      <c r="M57" s="54">
        <f t="shared" si="11"/>
        <v>0</v>
      </c>
      <c r="N57" s="54">
        <f t="shared" si="11"/>
        <v>0</v>
      </c>
      <c r="O57" s="54">
        <f t="shared" si="11"/>
        <v>0</v>
      </c>
      <c r="P57" s="54">
        <f t="shared" si="11"/>
        <v>0</v>
      </c>
    </row>
    <row r="58" spans="1:16" ht="12" customHeight="1" x14ac:dyDescent="0.2">
      <c r="A58" s="135"/>
      <c r="B58" s="55"/>
      <c r="C58" s="56" t="s">
        <v>13</v>
      </c>
      <c r="D58" s="56"/>
      <c r="E58" s="56"/>
      <c r="F58" s="57"/>
      <c r="G58" s="58">
        <f>G57+G51</f>
        <v>0</v>
      </c>
      <c r="H58" s="58">
        <f t="shared" ref="H58:P58" si="12">H57+H51</f>
        <v>0</v>
      </c>
      <c r="I58" s="58">
        <f t="shared" si="12"/>
        <v>0</v>
      </c>
      <c r="J58" s="58">
        <f t="shared" si="12"/>
        <v>0</v>
      </c>
      <c r="K58" s="58">
        <f t="shared" si="12"/>
        <v>0</v>
      </c>
      <c r="L58" s="58">
        <f t="shared" si="12"/>
        <v>0</v>
      </c>
      <c r="M58" s="58">
        <f t="shared" si="12"/>
        <v>0</v>
      </c>
      <c r="N58" s="58">
        <f t="shared" si="12"/>
        <v>0</v>
      </c>
      <c r="O58" s="58">
        <f t="shared" si="12"/>
        <v>0</v>
      </c>
      <c r="P58" s="58">
        <f t="shared" si="12"/>
        <v>0</v>
      </c>
    </row>
    <row r="59" spans="1:16" ht="22.5" customHeight="1" x14ac:dyDescent="0.25">
      <c r="A59" s="138"/>
      <c r="B59" s="117" t="str">
        <f>"Total "&amp;B3</f>
        <v>Total Work Plan 6</v>
      </c>
      <c r="C59" s="105"/>
      <c r="D59" s="105"/>
      <c r="E59" s="105"/>
      <c r="F59" s="106"/>
      <c r="G59" s="107">
        <f>G22+G44+G58</f>
        <v>870883</v>
      </c>
      <c r="H59" s="107">
        <f t="shared" ref="H59:P59" si="13">H22+H44+H58</f>
        <v>548396.00000370294</v>
      </c>
      <c r="I59" s="107">
        <f t="shared" si="13"/>
        <v>0</v>
      </c>
      <c r="J59" s="107">
        <f t="shared" si="13"/>
        <v>0</v>
      </c>
      <c r="K59" s="107">
        <f t="shared" si="13"/>
        <v>322486.999996297</v>
      </c>
      <c r="L59" s="107">
        <f t="shared" si="13"/>
        <v>0</v>
      </c>
      <c r="M59" s="107">
        <f t="shared" si="13"/>
        <v>0</v>
      </c>
      <c r="N59" s="107">
        <f t="shared" si="13"/>
        <v>0</v>
      </c>
      <c r="O59" s="107">
        <f t="shared" si="13"/>
        <v>0</v>
      </c>
      <c r="P59" s="107">
        <f t="shared" si="13"/>
        <v>0</v>
      </c>
    </row>
    <row r="60" spans="1:16" x14ac:dyDescent="0.2">
      <c r="A60" s="94"/>
    </row>
    <row r="61" spans="1:16" x14ac:dyDescent="0.2">
      <c r="A61" s="94"/>
      <c r="B61" s="48" t="s">
        <v>153</v>
      </c>
      <c r="G61" s="94">
        <f>Worksheet!J225</f>
        <v>870883.00001999992</v>
      </c>
      <c r="H61" s="94">
        <f>Worksheet!L225</f>
        <v>548396</v>
      </c>
      <c r="I61" s="94">
        <f>Worksheet!M225</f>
        <v>0</v>
      </c>
      <c r="K61" s="94">
        <f>Worksheet!N225</f>
        <v>322487</v>
      </c>
      <c r="N61" s="94">
        <f>Worksheet!O225</f>
        <v>0</v>
      </c>
      <c r="O61" s="94">
        <f>Worksheet!P225</f>
        <v>0</v>
      </c>
      <c r="P61" s="94">
        <f>Worksheet!Q225</f>
        <v>0</v>
      </c>
    </row>
    <row r="62" spans="1:16" x14ac:dyDescent="0.2">
      <c r="A62" s="94"/>
      <c r="B62" s="48" t="s">
        <v>132</v>
      </c>
      <c r="F62" s="232">
        <f>SUM(G62:P62)</f>
        <v>-1.9999977666884661E-5</v>
      </c>
      <c r="G62" s="94">
        <f>G59-G61</f>
        <v>-1.9999919459223747E-5</v>
      </c>
      <c r="H62" s="94">
        <f t="shared" ref="H62:P62" si="14">H59-H61</f>
        <v>3.7029385566711426E-6</v>
      </c>
      <c r="I62" s="94">
        <f t="shared" si="14"/>
        <v>0</v>
      </c>
      <c r="J62" s="94">
        <f t="shared" si="14"/>
        <v>0</v>
      </c>
      <c r="K62" s="94">
        <f t="shared" si="14"/>
        <v>-3.702996764332056E-6</v>
      </c>
      <c r="L62" s="94">
        <f t="shared" si="14"/>
        <v>0</v>
      </c>
      <c r="M62" s="94">
        <f t="shared" si="14"/>
        <v>0</v>
      </c>
      <c r="N62" s="94">
        <f t="shared" si="14"/>
        <v>0</v>
      </c>
      <c r="O62" s="94">
        <f t="shared" si="14"/>
        <v>0</v>
      </c>
      <c r="P62" s="94">
        <f t="shared" si="14"/>
        <v>0</v>
      </c>
    </row>
  </sheetData>
  <sheetProtection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25" right="0.25" top="0.75" bottom="0.25" header="0.5" footer="0"/>
  <pageSetup scale="61" orientation="portrait" r:id="rId1"/>
  <headerFooter alignWithMargins="0">
    <oddHeader>&amp;REnclosure 2</oddHeader>
    <oddFooter>&amp;LPage 6&amp;Rver 3 (12/2007)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">
    <pageSetUpPr fitToPage="1"/>
  </sheetPr>
  <dimension ref="A1:S62"/>
  <sheetViews>
    <sheetView topLeftCell="A48" zoomScale="80" zoomScaleNormal="80" workbookViewId="0">
      <selection activeCell="F62" activeCellId="9" sqref="A19:A20 P19:P20 M20 A30:A31 P30:P31 M31 A55:A56 P55:P56 M56 F62"/>
    </sheetView>
  </sheetViews>
  <sheetFormatPr defaultColWidth="0" defaultRowHeight="15" zeroHeight="1" x14ac:dyDescent="0.2"/>
  <cols>
    <col min="1" max="1" width="5.140625" style="48" customWidth="1"/>
    <col min="2" max="2" width="8.42578125" style="48" customWidth="1"/>
    <col min="3" max="3" width="3.7109375" style="48" customWidth="1"/>
    <col min="4" max="4" width="6.7109375" style="48" customWidth="1"/>
    <col min="5" max="5" width="3.7109375" style="48" customWidth="1"/>
    <col min="6" max="6" width="41.42578125" style="48" customWidth="1"/>
    <col min="7" max="7" width="18" style="48" customWidth="1"/>
    <col min="8" max="8" width="15.5703125" style="48" customWidth="1"/>
    <col min="9" max="9" width="14.85546875" style="48" customWidth="1"/>
    <col min="10" max="10" width="15.85546875" style="48" customWidth="1"/>
    <col min="11" max="11" width="15.28515625" style="48" customWidth="1"/>
    <col min="12" max="12" width="12.7109375" style="48" customWidth="1"/>
    <col min="13" max="13" width="14.85546875" style="48" customWidth="1"/>
    <col min="14" max="14" width="16.28515625" style="48" customWidth="1"/>
    <col min="15" max="15" width="13.42578125" style="48" customWidth="1"/>
    <col min="16" max="16" width="12.7109375" style="48" customWidth="1"/>
    <col min="17" max="19" width="12.7109375" hidden="1" customWidth="1"/>
  </cols>
  <sheetData>
    <row r="1" spans="1:19" ht="44.25" customHeight="1" x14ac:dyDescent="0.25">
      <c r="A1" s="231">
        <f>F62</f>
        <v>-1.9999955839011818E-5</v>
      </c>
      <c r="B1" s="173" t="str">
        <f>'CSS Pgm 1'!B1:$P$1</f>
        <v>Annual Mental Health Services Act Revenue and Expenditure Report for Fiscal Year 2007-08
Community Services and Supports (CSS) Programs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9" ht="18" customHeight="1" x14ac:dyDescent="0.25">
      <c r="A2" s="74"/>
      <c r="B2" s="47" t="s">
        <v>28</v>
      </c>
      <c r="C2" s="47"/>
      <c r="D2" s="47"/>
      <c r="E2" s="226" t="str">
        <f>'CSS Pgm 1'!E2</f>
        <v>Santa Cruz</v>
      </c>
      <c r="F2" s="226"/>
      <c r="G2" s="74"/>
      <c r="H2" s="74"/>
      <c r="I2" s="74"/>
      <c r="J2" s="74"/>
      <c r="K2" s="74"/>
      <c r="L2" s="74"/>
      <c r="M2" s="74"/>
      <c r="N2" s="74"/>
      <c r="O2" s="49" t="s">
        <v>29</v>
      </c>
      <c r="P2" s="78" t="str">
        <f>Worksheet!$N$2</f>
        <v>10/7/09</v>
      </c>
    </row>
    <row r="3" spans="1:19" ht="20.25" customHeight="1" x14ac:dyDescent="0.25">
      <c r="A3" s="74"/>
      <c r="B3" s="47" t="s">
        <v>225</v>
      </c>
      <c r="C3" s="47"/>
      <c r="D3" s="47"/>
      <c r="E3" s="224" t="str">
        <f>Worksheet!D255</f>
        <v>Consumer, Peer, and Family Services</v>
      </c>
      <c r="F3" s="225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ht="12" customHeight="1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s="165" customFormat="1" ht="21.75" customHeight="1" x14ac:dyDescent="0.25">
      <c r="A5" s="163"/>
      <c r="B5" s="174" t="s">
        <v>30</v>
      </c>
      <c r="C5" s="175"/>
      <c r="D5" s="175"/>
      <c r="E5" s="175"/>
      <c r="F5" s="176"/>
      <c r="G5" s="75" t="s">
        <v>19</v>
      </c>
      <c r="H5" s="101" t="s">
        <v>20</v>
      </c>
      <c r="I5" s="101" t="s">
        <v>27</v>
      </c>
      <c r="J5" s="101" t="s">
        <v>21</v>
      </c>
      <c r="K5" s="101" t="s">
        <v>22</v>
      </c>
      <c r="L5" s="101" t="s">
        <v>23</v>
      </c>
      <c r="M5" s="101" t="s">
        <v>24</v>
      </c>
      <c r="N5" s="101" t="s">
        <v>25</v>
      </c>
      <c r="O5" s="101" t="s">
        <v>26</v>
      </c>
      <c r="P5" s="101" t="s">
        <v>63</v>
      </c>
    </row>
    <row r="6" spans="1:19" s="3" customFormat="1" ht="24.75" customHeight="1" x14ac:dyDescent="0.25">
      <c r="A6" s="163"/>
      <c r="B6" s="177"/>
      <c r="C6" s="178"/>
      <c r="D6" s="178"/>
      <c r="E6" s="178"/>
      <c r="F6" s="179"/>
      <c r="G6" s="171" t="s">
        <v>6</v>
      </c>
      <c r="H6" s="201" t="s">
        <v>36</v>
      </c>
      <c r="I6" s="202"/>
      <c r="J6" s="202"/>
      <c r="K6" s="202"/>
      <c r="L6" s="202"/>
      <c r="M6" s="202"/>
      <c r="N6" s="202"/>
      <c r="O6" s="202"/>
      <c r="P6" s="203"/>
    </row>
    <row r="7" spans="1:19" s="1" customFormat="1" ht="57" customHeight="1" x14ac:dyDescent="0.2">
      <c r="A7" s="164"/>
      <c r="B7" s="180"/>
      <c r="C7" s="181"/>
      <c r="D7" s="181"/>
      <c r="E7" s="181"/>
      <c r="F7" s="182"/>
      <c r="G7" s="172"/>
      <c r="H7" s="119" t="s">
        <v>0</v>
      </c>
      <c r="I7" s="119" t="s">
        <v>35</v>
      </c>
      <c r="J7" s="119" t="s">
        <v>18</v>
      </c>
      <c r="K7" s="119" t="s">
        <v>1</v>
      </c>
      <c r="L7" s="119" t="s">
        <v>15</v>
      </c>
      <c r="M7" s="119" t="s">
        <v>16</v>
      </c>
      <c r="N7" s="119" t="s">
        <v>2</v>
      </c>
      <c r="O7" s="119" t="s">
        <v>17</v>
      </c>
      <c r="P7" s="97" t="s">
        <v>62</v>
      </c>
      <c r="Q7" s="2"/>
      <c r="R7" s="2"/>
      <c r="S7" s="2"/>
    </row>
    <row r="8" spans="1:19" ht="21.75" customHeight="1" x14ac:dyDescent="0.25">
      <c r="A8" s="125"/>
      <c r="B8" s="86" t="str">
        <f>B3</f>
        <v>Work Plan 7</v>
      </c>
      <c r="C8" s="87"/>
      <c r="D8" s="87"/>
      <c r="E8" s="87"/>
      <c r="F8" s="88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9" ht="15.75" customHeight="1" x14ac:dyDescent="0.2">
      <c r="A9" s="127"/>
      <c r="B9" s="60"/>
      <c r="C9" s="211" t="s">
        <v>85</v>
      </c>
      <c r="D9" s="211"/>
      <c r="E9" s="211"/>
      <c r="F9" s="212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9" ht="12" customHeight="1" x14ac:dyDescent="0.2">
      <c r="A10" s="129"/>
      <c r="B10" s="60"/>
      <c r="C10" s="52"/>
      <c r="D10" s="52" t="s">
        <v>3</v>
      </c>
      <c r="E10" s="52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9" ht="12" customHeight="1" x14ac:dyDescent="0.2">
      <c r="A11" s="129"/>
      <c r="B11" s="60"/>
      <c r="C11" s="52"/>
      <c r="D11" s="52"/>
      <c r="E11" s="52" t="s">
        <v>10</v>
      </c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9" ht="12" customHeight="1" x14ac:dyDescent="0.2">
      <c r="A12" s="129"/>
      <c r="B12" s="60"/>
      <c r="C12" s="52"/>
      <c r="D12" s="52"/>
      <c r="E12" s="52" t="s">
        <v>11</v>
      </c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9" ht="12" customHeight="1" x14ac:dyDescent="0.2">
      <c r="A13" s="130" t="s">
        <v>138</v>
      </c>
      <c r="B13" s="60"/>
      <c r="C13" s="52"/>
      <c r="D13" s="52"/>
      <c r="E13" s="52" t="s">
        <v>37</v>
      </c>
      <c r="F13" s="53"/>
      <c r="G13" s="131">
        <f>SUMIF(Worksheet!$B$265:$B$283,$A13,Worksheet!I$265:I$283)</f>
        <v>0</v>
      </c>
      <c r="H13" s="132">
        <f>G13-SUM(I13:P13)</f>
        <v>0</v>
      </c>
      <c r="I13" s="131">
        <f>SUMIF(Worksheet!$B$265:$B$283,$A13,Worksheet!M$265:M$283)</f>
        <v>0</v>
      </c>
      <c r="J13" s="54"/>
      <c r="K13" s="131">
        <f>SUMIF(Worksheet!$B$265:$B$283,$A13,Worksheet!N$265:N$283)</f>
        <v>0</v>
      </c>
      <c r="L13" s="54"/>
      <c r="M13" s="131"/>
      <c r="N13" s="131">
        <f>SUMIF(Worksheet!$B$265:$B$283,$A13,Worksheet!O$265:O$283)</f>
        <v>0</v>
      </c>
      <c r="O13" s="131">
        <f>SUMIF(Worksheet!$B$265:$B$283,$A13,Worksheet!P$265:P$283)</f>
        <v>0</v>
      </c>
      <c r="P13" s="131">
        <f>SUMIF(Worksheet!$B$265:$B$283,$A13,Worksheet!Q$265:Q$283)</f>
        <v>0</v>
      </c>
    </row>
    <row r="14" spans="1:19" ht="12" customHeight="1" x14ac:dyDescent="0.2">
      <c r="A14" s="130" t="s">
        <v>142</v>
      </c>
      <c r="B14" s="60"/>
      <c r="C14" s="52"/>
      <c r="D14" s="52"/>
      <c r="E14" s="52" t="s">
        <v>4</v>
      </c>
      <c r="F14" s="53"/>
      <c r="G14" s="131">
        <f>SUMIF(Worksheet!$B$265:$B$283,$A14,Worksheet!I$265:I$283)</f>
        <v>0</v>
      </c>
      <c r="H14" s="132">
        <f>G14-SUM(I14:P14)</f>
        <v>0</v>
      </c>
      <c r="I14" s="131">
        <f>SUMIF(Worksheet!$B$265:$B$283,$A14,Worksheet!M$265:M$283)</f>
        <v>0</v>
      </c>
      <c r="J14" s="54"/>
      <c r="K14" s="131">
        <f>SUMIF(Worksheet!$B$265:$B$283,$A14,Worksheet!N$265:N$283)</f>
        <v>0</v>
      </c>
      <c r="L14" s="54"/>
      <c r="M14" s="131"/>
      <c r="N14" s="131">
        <f>SUMIF(Worksheet!$B$265:$B$283,$A14,Worksheet!O$265:O$283)</f>
        <v>0</v>
      </c>
      <c r="O14" s="131">
        <f>SUMIF(Worksheet!$B$265:$B$283,$A14,Worksheet!P$265:P$283)</f>
        <v>0</v>
      </c>
      <c r="P14" s="131">
        <f>SUMIF(Worksheet!$B$265:$B$283,$A14,Worksheet!Q$265:Q$283)</f>
        <v>0</v>
      </c>
    </row>
    <row r="15" spans="1:19" ht="12" customHeight="1" x14ac:dyDescent="0.2">
      <c r="A15" s="134"/>
      <c r="B15" s="60"/>
      <c r="C15" s="52"/>
      <c r="D15" s="52" t="s">
        <v>7</v>
      </c>
      <c r="E15" s="52"/>
      <c r="F15" s="53"/>
      <c r="G15" s="54">
        <f>SUM(G11:G14)</f>
        <v>0</v>
      </c>
      <c r="H15" s="54">
        <f t="shared" ref="H15:P15" si="0">SUM(H11:H14)</f>
        <v>0</v>
      </c>
      <c r="I15" s="54">
        <f t="shared" si="0"/>
        <v>0</v>
      </c>
      <c r="J15" s="54">
        <f t="shared" si="0"/>
        <v>0</v>
      </c>
      <c r="K15" s="54">
        <f t="shared" si="0"/>
        <v>0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54">
        <f t="shared" si="0"/>
        <v>0</v>
      </c>
    </row>
    <row r="16" spans="1:19" ht="12" customHeight="1" x14ac:dyDescent="0.2">
      <c r="A16" s="129"/>
      <c r="B16" s="60"/>
      <c r="C16" s="52"/>
      <c r="D16" s="52" t="s">
        <v>5</v>
      </c>
      <c r="E16" s="52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12" customHeight="1" x14ac:dyDescent="0.2">
      <c r="A17" s="129"/>
      <c r="B17" s="60"/>
      <c r="C17" s="52"/>
      <c r="D17" s="52"/>
      <c r="E17" s="52" t="s">
        <v>10</v>
      </c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t="12" customHeight="1" x14ac:dyDescent="0.2">
      <c r="A18" s="129"/>
      <c r="B18" s="60"/>
      <c r="C18" s="52"/>
      <c r="D18" s="52"/>
      <c r="E18" s="52" t="s">
        <v>11</v>
      </c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t="12" customHeight="1" x14ac:dyDescent="0.2">
      <c r="A19" s="129" t="s">
        <v>143</v>
      </c>
      <c r="B19" s="60"/>
      <c r="C19" s="52"/>
      <c r="D19" s="52"/>
      <c r="E19" s="52" t="s">
        <v>37</v>
      </c>
      <c r="F19" s="53"/>
      <c r="G19" s="131">
        <f>SUMIF(Worksheet!$B$265:$B$283,$A19,Worksheet!I$265:I$283)</f>
        <v>0</v>
      </c>
      <c r="H19" s="132">
        <f>G19-SUM(I19:P19)</f>
        <v>0</v>
      </c>
      <c r="I19" s="131">
        <f>SUMIF(Worksheet!$B$265:$B$283,$A19,Worksheet!M$265:M$283)</f>
        <v>0</v>
      </c>
      <c r="J19" s="54"/>
      <c r="K19" s="131">
        <f>SUMIF(Worksheet!$B$265:$B$283,$A19,Worksheet!N$265:N$283)</f>
        <v>0</v>
      </c>
      <c r="L19" s="54"/>
      <c r="M19" s="131"/>
      <c r="N19" s="131">
        <f>SUMIF(Worksheet!$B$265:$B$283,$A19,Worksheet!O$265:O$283)</f>
        <v>0</v>
      </c>
      <c r="O19" s="131">
        <f>SUMIF(Worksheet!$B$265:$B$283,$A19,Worksheet!P$265:P$283)</f>
        <v>0</v>
      </c>
      <c r="P19" s="236">
        <f>SUMIF(Worksheet!$B$265:$B$283,$A19,Worksheet!Q$265:Q$283)-M19</f>
        <v>0</v>
      </c>
    </row>
    <row r="20" spans="1:16" ht="12" customHeight="1" x14ac:dyDescent="0.2">
      <c r="A20" s="129" t="s">
        <v>144</v>
      </c>
      <c r="B20" s="60"/>
      <c r="C20" s="52"/>
      <c r="D20" s="52"/>
      <c r="E20" s="52" t="s">
        <v>4</v>
      </c>
      <c r="F20" s="53"/>
      <c r="G20" s="131">
        <f>SUMIF(Worksheet!$B$265:$B$283,$A20,Worksheet!I$265:I$283)</f>
        <v>137984.5</v>
      </c>
      <c r="H20" s="132">
        <f>G20-SUM(I20:P20)</f>
        <v>122390.25000028254</v>
      </c>
      <c r="I20" s="131">
        <f>SUMIF(Worksheet!$B$265:$B$283,$A20,Worksheet!M$265:M$283)</f>
        <v>0</v>
      </c>
      <c r="J20" s="54"/>
      <c r="K20" s="131">
        <f>SUMIF(Worksheet!$B$265:$B$283,$A20,Worksheet!N$265:N$283)</f>
        <v>15594.249999717464</v>
      </c>
      <c r="L20" s="54"/>
      <c r="M20" s="236">
        <f>SUMIF(Worksheet!$B$265:$B$283,$A20,Worksheet!Q$265:Q$283)</f>
        <v>0</v>
      </c>
      <c r="N20" s="131">
        <f>SUMIF(Worksheet!$B$265:$B$283,$A20,Worksheet!O$265:O$283)</f>
        <v>0</v>
      </c>
      <c r="O20" s="131">
        <f>SUMIF(Worksheet!$B$265:$B$283,$A20,Worksheet!P$265:P$283)</f>
        <v>0</v>
      </c>
      <c r="P20" s="236">
        <f>SUMIF(Worksheet!$B$265:$B$283,$A20,Worksheet!Q$265:Q$283)-M20</f>
        <v>0</v>
      </c>
    </row>
    <row r="21" spans="1:16" ht="12" customHeight="1" x14ac:dyDescent="0.2">
      <c r="A21" s="134"/>
      <c r="B21" s="60"/>
      <c r="C21" s="52"/>
      <c r="D21" s="52" t="s">
        <v>8</v>
      </c>
      <c r="E21" s="52"/>
      <c r="F21" s="53"/>
      <c r="G21" s="54">
        <f>SUM(G17:G20)</f>
        <v>137984.5</v>
      </c>
      <c r="H21" s="54">
        <f t="shared" ref="H21:P21" si="1">SUM(H17:H20)</f>
        <v>122390.25000028254</v>
      </c>
      <c r="I21" s="54">
        <f t="shared" si="1"/>
        <v>0</v>
      </c>
      <c r="J21" s="54">
        <f t="shared" si="1"/>
        <v>0</v>
      </c>
      <c r="K21" s="54">
        <f t="shared" si="1"/>
        <v>15594.249999717464</v>
      </c>
      <c r="L21" s="54">
        <f t="shared" si="1"/>
        <v>0</v>
      </c>
      <c r="M21" s="54">
        <f t="shared" si="1"/>
        <v>0</v>
      </c>
      <c r="N21" s="54">
        <f t="shared" si="1"/>
        <v>0</v>
      </c>
      <c r="O21" s="54">
        <f t="shared" si="1"/>
        <v>0</v>
      </c>
      <c r="P21" s="54">
        <f t="shared" si="1"/>
        <v>0</v>
      </c>
    </row>
    <row r="22" spans="1:16" ht="12" customHeight="1" x14ac:dyDescent="0.2">
      <c r="A22" s="135"/>
      <c r="B22" s="55"/>
      <c r="C22" s="56" t="s">
        <v>9</v>
      </c>
      <c r="D22" s="56"/>
      <c r="E22" s="56"/>
      <c r="F22" s="57"/>
      <c r="G22" s="58">
        <f>G15+G21</f>
        <v>137984.5</v>
      </c>
      <c r="H22" s="58">
        <f t="shared" ref="H22:P22" si="2">H15+H21</f>
        <v>122390.25000028254</v>
      </c>
      <c r="I22" s="58">
        <f t="shared" si="2"/>
        <v>0</v>
      </c>
      <c r="J22" s="58">
        <f t="shared" si="2"/>
        <v>0</v>
      </c>
      <c r="K22" s="58">
        <f t="shared" si="2"/>
        <v>15594.249999717464</v>
      </c>
      <c r="L22" s="58">
        <f t="shared" si="2"/>
        <v>0</v>
      </c>
      <c r="M22" s="58">
        <f t="shared" si="2"/>
        <v>0</v>
      </c>
      <c r="N22" s="58">
        <f t="shared" si="2"/>
        <v>0</v>
      </c>
      <c r="O22" s="58">
        <f t="shared" si="2"/>
        <v>0</v>
      </c>
      <c r="P22" s="58">
        <f t="shared" si="2"/>
        <v>0</v>
      </c>
    </row>
    <row r="23" spans="1:16" ht="12" customHeight="1" x14ac:dyDescent="0.2">
      <c r="A23" s="127"/>
      <c r="B23" s="60"/>
      <c r="C23" s="213" t="s">
        <v>79</v>
      </c>
      <c r="D23" s="213"/>
      <c r="E23" s="213"/>
      <c r="F23" s="21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t="12" customHeight="1" x14ac:dyDescent="0.2">
      <c r="A24" s="129"/>
      <c r="B24" s="60"/>
      <c r="C24" s="52"/>
      <c r="D24" s="52" t="s">
        <v>31</v>
      </c>
      <c r="E24" s="52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t="12" customHeight="1" x14ac:dyDescent="0.2">
      <c r="A25" s="129"/>
      <c r="B25" s="60"/>
      <c r="C25" s="52"/>
      <c r="D25" s="52"/>
      <c r="E25" s="52" t="s">
        <v>3</v>
      </c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t="12" customHeight="1" x14ac:dyDescent="0.2">
      <c r="A26" s="130" t="s">
        <v>145</v>
      </c>
      <c r="B26" s="60"/>
      <c r="C26" s="52"/>
      <c r="D26" s="52"/>
      <c r="E26" s="52"/>
      <c r="F26" s="53" t="s">
        <v>37</v>
      </c>
      <c r="G26" s="131">
        <f>SUMIF(Worksheet!$B$265:$B$283,$A26,Worksheet!I$265:I$283)</f>
        <v>0</v>
      </c>
      <c r="H26" s="132">
        <f>G26-SUM(I26:P26)</f>
        <v>0</v>
      </c>
      <c r="I26" s="131">
        <f>SUMIF(Worksheet!$B$265:$B$283,$A26,Worksheet!M$265:M$283)</f>
        <v>0</v>
      </c>
      <c r="J26" s="54"/>
      <c r="K26" s="131">
        <f>SUMIF(Worksheet!$B$265:$B$283,$A26,Worksheet!N$265:N$283)</f>
        <v>0</v>
      </c>
      <c r="L26" s="54"/>
      <c r="M26" s="131"/>
      <c r="N26" s="131">
        <f>SUMIF(Worksheet!$B$265:$B$283,$A26,Worksheet!O$265:O$283)</f>
        <v>0</v>
      </c>
      <c r="O26" s="131">
        <f>SUMIF(Worksheet!$B$265:$B$283,$A26,Worksheet!P$265:P$283)</f>
        <v>0</v>
      </c>
      <c r="P26" s="131">
        <f>SUMIF(Worksheet!$B$265:$B$283,$A26,Worksheet!Q$265:Q$283)</f>
        <v>0</v>
      </c>
    </row>
    <row r="27" spans="1:16" ht="12" customHeight="1" x14ac:dyDescent="0.2">
      <c r="A27" s="130" t="s">
        <v>146</v>
      </c>
      <c r="B27" s="60"/>
      <c r="C27" s="52"/>
      <c r="D27" s="52"/>
      <c r="E27" s="52"/>
      <c r="F27" s="53" t="s">
        <v>4</v>
      </c>
      <c r="G27" s="131">
        <f>SUMIF(Worksheet!$B$265:$B$283,$A27,Worksheet!I$265:I$283)</f>
        <v>0</v>
      </c>
      <c r="H27" s="132">
        <f>G27-SUM(I27:P27)</f>
        <v>0</v>
      </c>
      <c r="I27" s="131">
        <f>SUMIF(Worksheet!$B$265:$B$283,$A27,Worksheet!M$265:M$283)</f>
        <v>0</v>
      </c>
      <c r="J27" s="54"/>
      <c r="K27" s="131">
        <f>SUMIF(Worksheet!$B$265:$B$283,$A27,Worksheet!N$265:N$283)</f>
        <v>0</v>
      </c>
      <c r="L27" s="54"/>
      <c r="M27" s="131"/>
      <c r="N27" s="131">
        <f>SUMIF(Worksheet!$B$265:$B$283,$A27,Worksheet!O$265:O$283)</f>
        <v>0</v>
      </c>
      <c r="O27" s="131">
        <f>SUMIF(Worksheet!$B$265:$B$283,$A27,Worksheet!P$265:P$283)</f>
        <v>0</v>
      </c>
      <c r="P27" s="131">
        <f>SUMIF(Worksheet!$B$265:$B$283,$A27,Worksheet!Q$265:Q$283)</f>
        <v>0</v>
      </c>
    </row>
    <row r="28" spans="1:16" ht="12" customHeight="1" x14ac:dyDescent="0.2">
      <c r="A28" s="134"/>
      <c r="B28" s="60"/>
      <c r="C28" s="52"/>
      <c r="D28" s="52"/>
      <c r="E28" s="52" t="s">
        <v>7</v>
      </c>
      <c r="F28" s="53"/>
      <c r="G28" s="54">
        <f>SUM(G26:G27)</f>
        <v>0</v>
      </c>
      <c r="H28" s="54">
        <f t="shared" ref="H28:P28" si="3">SUM(H26:H27)</f>
        <v>0</v>
      </c>
      <c r="I28" s="54">
        <f t="shared" si="3"/>
        <v>0</v>
      </c>
      <c r="J28" s="54">
        <f t="shared" si="3"/>
        <v>0</v>
      </c>
      <c r="K28" s="54">
        <f t="shared" si="3"/>
        <v>0</v>
      </c>
      <c r="L28" s="54">
        <f t="shared" si="3"/>
        <v>0</v>
      </c>
      <c r="M28" s="54">
        <f t="shared" si="3"/>
        <v>0</v>
      </c>
      <c r="N28" s="54">
        <f t="shared" si="3"/>
        <v>0</v>
      </c>
      <c r="O28" s="54">
        <f t="shared" si="3"/>
        <v>0</v>
      </c>
      <c r="P28" s="54">
        <f t="shared" si="3"/>
        <v>0</v>
      </c>
    </row>
    <row r="29" spans="1:16" ht="12" customHeight="1" x14ac:dyDescent="0.2">
      <c r="A29" s="129"/>
      <c r="B29" s="60"/>
      <c r="C29" s="52"/>
      <c r="D29" s="52"/>
      <c r="E29" s="52" t="s">
        <v>5</v>
      </c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t="12" customHeight="1" x14ac:dyDescent="0.2">
      <c r="A30" s="129" t="s">
        <v>147</v>
      </c>
      <c r="B30" s="60"/>
      <c r="C30" s="52"/>
      <c r="D30" s="52"/>
      <c r="E30" s="52"/>
      <c r="F30" s="53" t="s">
        <v>37</v>
      </c>
      <c r="G30" s="131">
        <f>SUMIF(Worksheet!$B$265:$B$283,$A30,Worksheet!I$265:I$283)</f>
        <v>0</v>
      </c>
      <c r="H30" s="132">
        <f>G30-SUM(I30:P30)</f>
        <v>0</v>
      </c>
      <c r="I30" s="131">
        <f>SUMIF(Worksheet!$B$265:$B$283,$A30,Worksheet!M$265:M$283)</f>
        <v>0</v>
      </c>
      <c r="J30" s="54"/>
      <c r="K30" s="131">
        <f>SUMIF(Worksheet!$B$265:$B$283,$A30,Worksheet!N$265:N$283)</f>
        <v>0</v>
      </c>
      <c r="L30" s="54"/>
      <c r="M30" s="131"/>
      <c r="N30" s="131">
        <f>SUMIF(Worksheet!$B$265:$B$283,$A30,Worksheet!O$265:O$283)</f>
        <v>0</v>
      </c>
      <c r="O30" s="131">
        <f>SUMIF(Worksheet!$B$265:$B$283,$A30,Worksheet!P$265:P$283)</f>
        <v>0</v>
      </c>
      <c r="P30" s="236">
        <f>SUMIF(Worksheet!$B$265:$B$283,$A30,Worksheet!Q$265:Q$283)-M30</f>
        <v>0</v>
      </c>
    </row>
    <row r="31" spans="1:16" ht="12" customHeight="1" x14ac:dyDescent="0.2">
      <c r="A31" s="129" t="s">
        <v>148</v>
      </c>
      <c r="B31" s="60"/>
      <c r="C31" s="52"/>
      <c r="D31" s="52"/>
      <c r="E31" s="52"/>
      <c r="F31" s="53" t="s">
        <v>4</v>
      </c>
      <c r="G31" s="131">
        <f>SUMIF(Worksheet!$B$265:$B$283,$A31,Worksheet!I$265:I$283)</f>
        <v>386356.6</v>
      </c>
      <c r="H31" s="132">
        <f>G31-SUM(I31:P31)</f>
        <v>342692.70000079105</v>
      </c>
      <c r="I31" s="131">
        <f>SUMIF(Worksheet!$B$265:$B$283,$A31,Worksheet!M$265:M$283)</f>
        <v>0</v>
      </c>
      <c r="J31" s="54"/>
      <c r="K31" s="131">
        <f>SUMIF(Worksheet!$B$265:$B$283,$A31,Worksheet!N$265:N$283)</f>
        <v>43663.899999208901</v>
      </c>
      <c r="L31" s="54"/>
      <c r="M31" s="236">
        <f>SUMIF(Worksheet!$B$265:$B$283,$A31,Worksheet!Q$265:Q$283)</f>
        <v>0</v>
      </c>
      <c r="N31" s="131">
        <f>SUMIF(Worksheet!$B$265:$B$283,$A31,Worksheet!O$265:O$283)</f>
        <v>0</v>
      </c>
      <c r="O31" s="131">
        <f>SUMIF(Worksheet!$B$265:$B$283,$A31,Worksheet!P$265:P$283)</f>
        <v>0</v>
      </c>
      <c r="P31" s="236">
        <f>SUMIF(Worksheet!$B$265:$B$283,$A31,Worksheet!Q$265:Q$283)-M31</f>
        <v>0</v>
      </c>
    </row>
    <row r="32" spans="1:16" ht="12" customHeight="1" x14ac:dyDescent="0.2">
      <c r="A32" s="134"/>
      <c r="B32" s="60"/>
      <c r="C32" s="52"/>
      <c r="D32" s="52"/>
      <c r="E32" s="52" t="s">
        <v>8</v>
      </c>
      <c r="F32" s="53"/>
      <c r="G32" s="54">
        <f>SUM(G30:G31)</f>
        <v>386356.6</v>
      </c>
      <c r="H32" s="54">
        <f t="shared" ref="H32:P32" si="4">SUM(H30:H31)</f>
        <v>342692.70000079105</v>
      </c>
      <c r="I32" s="54">
        <f t="shared" si="4"/>
        <v>0</v>
      </c>
      <c r="J32" s="54">
        <f t="shared" si="4"/>
        <v>0</v>
      </c>
      <c r="K32" s="54">
        <f t="shared" si="4"/>
        <v>43663.899999208901</v>
      </c>
      <c r="L32" s="54">
        <f t="shared" si="4"/>
        <v>0</v>
      </c>
      <c r="M32" s="54">
        <f t="shared" si="4"/>
        <v>0</v>
      </c>
      <c r="N32" s="54">
        <f t="shared" si="4"/>
        <v>0</v>
      </c>
      <c r="O32" s="54">
        <f t="shared" si="4"/>
        <v>0</v>
      </c>
      <c r="P32" s="54">
        <f t="shared" si="4"/>
        <v>0</v>
      </c>
    </row>
    <row r="33" spans="1:16" ht="12" customHeight="1" x14ac:dyDescent="0.2">
      <c r="A33" s="134"/>
      <c r="B33" s="60"/>
      <c r="C33" s="52"/>
      <c r="D33" s="52" t="s">
        <v>32</v>
      </c>
      <c r="E33" s="52"/>
      <c r="F33" s="53"/>
      <c r="G33" s="54">
        <f>G28+G32</f>
        <v>386356.6</v>
      </c>
      <c r="H33" s="54">
        <f t="shared" ref="H33:P33" si="5">H28+H32</f>
        <v>342692.70000079105</v>
      </c>
      <c r="I33" s="54">
        <f t="shared" si="5"/>
        <v>0</v>
      </c>
      <c r="J33" s="54">
        <f t="shared" si="5"/>
        <v>0</v>
      </c>
      <c r="K33" s="54">
        <f t="shared" si="5"/>
        <v>43663.899999208901</v>
      </c>
      <c r="L33" s="54">
        <f t="shared" si="5"/>
        <v>0</v>
      </c>
      <c r="M33" s="54">
        <f t="shared" si="5"/>
        <v>0</v>
      </c>
      <c r="N33" s="54">
        <f t="shared" si="5"/>
        <v>0</v>
      </c>
      <c r="O33" s="54">
        <f t="shared" si="5"/>
        <v>0</v>
      </c>
      <c r="P33" s="54">
        <f t="shared" si="5"/>
        <v>0</v>
      </c>
    </row>
    <row r="34" spans="1:16" ht="12" customHeight="1" x14ac:dyDescent="0.2">
      <c r="A34" s="129"/>
      <c r="B34" s="60"/>
      <c r="C34" s="52"/>
      <c r="D34" s="52" t="s">
        <v>33</v>
      </c>
      <c r="E34" s="52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t="12" customHeight="1" x14ac:dyDescent="0.2">
      <c r="A35" s="129"/>
      <c r="B35" s="60"/>
      <c r="C35" s="52"/>
      <c r="D35" s="52"/>
      <c r="E35" s="52" t="s">
        <v>3</v>
      </c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t="12" customHeight="1" x14ac:dyDescent="0.2">
      <c r="A36" s="129"/>
      <c r="B36" s="60"/>
      <c r="C36" s="52"/>
      <c r="D36" s="52"/>
      <c r="E36" s="52"/>
      <c r="F36" s="53" t="s">
        <v>37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t="12" customHeight="1" x14ac:dyDescent="0.2">
      <c r="A37" s="129"/>
      <c r="B37" s="60"/>
      <c r="C37" s="52"/>
      <c r="D37" s="52"/>
      <c r="E37" s="52"/>
      <c r="F37" s="53" t="s">
        <v>4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t="12" customHeight="1" x14ac:dyDescent="0.2">
      <c r="A38" s="134"/>
      <c r="B38" s="60"/>
      <c r="C38" s="52"/>
      <c r="D38" s="52"/>
      <c r="E38" s="52" t="s">
        <v>7</v>
      </c>
      <c r="F38" s="53"/>
      <c r="G38" s="54">
        <f>SUM(G36:G37)</f>
        <v>0</v>
      </c>
      <c r="H38" s="54">
        <f t="shared" ref="H38:P38" si="6">SUM(H36:H37)</f>
        <v>0</v>
      </c>
      <c r="I38" s="54">
        <f t="shared" si="6"/>
        <v>0</v>
      </c>
      <c r="J38" s="54">
        <f t="shared" si="6"/>
        <v>0</v>
      </c>
      <c r="K38" s="54">
        <f t="shared" si="6"/>
        <v>0</v>
      </c>
      <c r="L38" s="54">
        <f t="shared" si="6"/>
        <v>0</v>
      </c>
      <c r="M38" s="54">
        <f t="shared" si="6"/>
        <v>0</v>
      </c>
      <c r="N38" s="54">
        <f t="shared" si="6"/>
        <v>0</v>
      </c>
      <c r="O38" s="54">
        <f t="shared" si="6"/>
        <v>0</v>
      </c>
      <c r="P38" s="54">
        <f t="shared" si="6"/>
        <v>0</v>
      </c>
    </row>
    <row r="39" spans="1:16" ht="12" customHeight="1" x14ac:dyDescent="0.2">
      <c r="A39" s="129"/>
      <c r="B39" s="60"/>
      <c r="C39" s="52"/>
      <c r="D39" s="52"/>
      <c r="E39" s="52" t="s">
        <v>5</v>
      </c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t="12" customHeight="1" x14ac:dyDescent="0.2">
      <c r="A40" s="129"/>
      <c r="B40" s="60"/>
      <c r="C40" s="52"/>
      <c r="D40" s="52"/>
      <c r="E40" s="52"/>
      <c r="F40" s="53" t="s">
        <v>37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t="12" customHeight="1" x14ac:dyDescent="0.2">
      <c r="A41" s="129"/>
      <c r="B41" s="60"/>
      <c r="C41" s="52"/>
      <c r="D41" s="52"/>
      <c r="E41" s="52"/>
      <c r="F41" s="53" t="s">
        <v>4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t="12" customHeight="1" x14ac:dyDescent="0.2">
      <c r="A42" s="134"/>
      <c r="B42" s="60"/>
      <c r="C42" s="52"/>
      <c r="D42" s="52"/>
      <c r="E42" s="52" t="s">
        <v>8</v>
      </c>
      <c r="F42" s="53"/>
      <c r="G42" s="54">
        <f>SUM(G40:G41)</f>
        <v>0</v>
      </c>
      <c r="H42" s="54">
        <f t="shared" ref="H42:P42" si="7">SUM(H40:H41)</f>
        <v>0</v>
      </c>
      <c r="I42" s="54">
        <f t="shared" si="7"/>
        <v>0</v>
      </c>
      <c r="J42" s="54">
        <f t="shared" si="7"/>
        <v>0</v>
      </c>
      <c r="K42" s="54">
        <f t="shared" si="7"/>
        <v>0</v>
      </c>
      <c r="L42" s="54">
        <f t="shared" si="7"/>
        <v>0</v>
      </c>
      <c r="M42" s="54">
        <f t="shared" si="7"/>
        <v>0</v>
      </c>
      <c r="N42" s="54">
        <f t="shared" si="7"/>
        <v>0</v>
      </c>
      <c r="O42" s="54">
        <f t="shared" si="7"/>
        <v>0</v>
      </c>
      <c r="P42" s="54">
        <f t="shared" si="7"/>
        <v>0</v>
      </c>
    </row>
    <row r="43" spans="1:16" ht="12" customHeight="1" x14ac:dyDescent="0.2">
      <c r="A43" s="134"/>
      <c r="B43" s="60"/>
      <c r="C43" s="52"/>
      <c r="D43" s="52" t="s">
        <v>34</v>
      </c>
      <c r="E43" s="52"/>
      <c r="F43" s="53"/>
      <c r="G43" s="54">
        <f>G38+G42</f>
        <v>0</v>
      </c>
      <c r="H43" s="54">
        <f t="shared" ref="H43:P43" si="8">H38+H42</f>
        <v>0</v>
      </c>
      <c r="I43" s="54">
        <f t="shared" si="8"/>
        <v>0</v>
      </c>
      <c r="J43" s="54">
        <f t="shared" si="8"/>
        <v>0</v>
      </c>
      <c r="K43" s="54">
        <f t="shared" si="8"/>
        <v>0</v>
      </c>
      <c r="L43" s="54">
        <f t="shared" si="8"/>
        <v>0</v>
      </c>
      <c r="M43" s="54">
        <f t="shared" si="8"/>
        <v>0</v>
      </c>
      <c r="N43" s="54">
        <f t="shared" si="8"/>
        <v>0</v>
      </c>
      <c r="O43" s="54">
        <f t="shared" si="8"/>
        <v>0</v>
      </c>
      <c r="P43" s="54">
        <f t="shared" si="8"/>
        <v>0</v>
      </c>
    </row>
    <row r="44" spans="1:16" ht="12" customHeight="1" x14ac:dyDescent="0.2">
      <c r="A44" s="135"/>
      <c r="B44" s="55"/>
      <c r="C44" s="56" t="s">
        <v>80</v>
      </c>
      <c r="D44" s="56"/>
      <c r="E44" s="56"/>
      <c r="F44" s="57"/>
      <c r="G44" s="58">
        <f>G33+G43</f>
        <v>386356.6</v>
      </c>
      <c r="H44" s="58">
        <f t="shared" ref="H44:P44" si="9">H33+H43</f>
        <v>342692.70000079105</v>
      </c>
      <c r="I44" s="58">
        <f t="shared" si="9"/>
        <v>0</v>
      </c>
      <c r="J44" s="58">
        <f t="shared" si="9"/>
        <v>0</v>
      </c>
      <c r="K44" s="58">
        <f t="shared" si="9"/>
        <v>43663.899999208901</v>
      </c>
      <c r="L44" s="58">
        <f t="shared" si="9"/>
        <v>0</v>
      </c>
      <c r="M44" s="58">
        <f t="shared" si="9"/>
        <v>0</v>
      </c>
      <c r="N44" s="58">
        <f t="shared" si="9"/>
        <v>0</v>
      </c>
      <c r="O44" s="58">
        <f t="shared" si="9"/>
        <v>0</v>
      </c>
      <c r="P44" s="58">
        <f t="shared" si="9"/>
        <v>0</v>
      </c>
    </row>
    <row r="45" spans="1:16" ht="12" customHeight="1" x14ac:dyDescent="0.2">
      <c r="A45" s="137"/>
      <c r="B45" s="60"/>
      <c r="C45" s="209" t="s">
        <v>12</v>
      </c>
      <c r="D45" s="209"/>
      <c r="E45" s="209"/>
      <c r="F45" s="210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t="12" customHeight="1" x14ac:dyDescent="0.2">
      <c r="A46" s="129"/>
      <c r="B46" s="60"/>
      <c r="C46" s="52"/>
      <c r="D46" s="52" t="s">
        <v>3</v>
      </c>
      <c r="E46" s="52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t="12" customHeight="1" x14ac:dyDescent="0.2">
      <c r="A47" s="129"/>
      <c r="B47" s="60"/>
      <c r="C47" s="52"/>
      <c r="D47" s="52"/>
      <c r="E47" s="52" t="s">
        <v>10</v>
      </c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t="12" customHeight="1" x14ac:dyDescent="0.2">
      <c r="A48" s="129"/>
      <c r="B48" s="60"/>
      <c r="C48" s="52"/>
      <c r="D48" s="52"/>
      <c r="E48" s="52" t="s">
        <v>11</v>
      </c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t="12" customHeight="1" x14ac:dyDescent="0.2">
      <c r="A49" s="130" t="s">
        <v>149</v>
      </c>
      <c r="B49" s="60"/>
      <c r="C49" s="52"/>
      <c r="D49" s="52"/>
      <c r="E49" s="52" t="s">
        <v>37</v>
      </c>
      <c r="F49" s="53"/>
      <c r="G49" s="131">
        <f>SUMIF(Worksheet!$B$265:$B$283,$A49,Worksheet!I$265:I$283)</f>
        <v>0</v>
      </c>
      <c r="H49" s="132">
        <f>G49-SUM(I49:P49)</f>
        <v>0</v>
      </c>
      <c r="I49" s="131">
        <f>SUMIF(Worksheet!$B$265:$B$283,$A49,Worksheet!M$265:M$283)</f>
        <v>0</v>
      </c>
      <c r="J49" s="54"/>
      <c r="K49" s="131">
        <f>SUMIF(Worksheet!$B$265:$B$283,$A49,Worksheet!N$265:N$283)</f>
        <v>0</v>
      </c>
      <c r="L49" s="54"/>
      <c r="M49" s="131"/>
      <c r="N49" s="131">
        <f>SUMIF(Worksheet!$B$265:$B$283,$A49,Worksheet!O$265:O$283)</f>
        <v>0</v>
      </c>
      <c r="O49" s="131">
        <f>SUMIF(Worksheet!$B$265:$B$283,$A49,Worksheet!P$265:P$283)</f>
        <v>0</v>
      </c>
      <c r="P49" s="131">
        <f>SUMIF(Worksheet!$B$265:$B$283,$A49,Worksheet!Q$265:Q$283)</f>
        <v>0</v>
      </c>
    </row>
    <row r="50" spans="1:16" ht="12" customHeight="1" x14ac:dyDescent="0.2">
      <c r="A50" s="130" t="s">
        <v>150</v>
      </c>
      <c r="B50" s="60"/>
      <c r="C50" s="52"/>
      <c r="D50" s="52"/>
      <c r="E50" s="52" t="s">
        <v>4</v>
      </c>
      <c r="F50" s="53"/>
      <c r="G50" s="131">
        <f>SUMIF(Worksheet!$B$265:$B$283,$A50,Worksheet!I$265:I$283)</f>
        <v>0</v>
      </c>
      <c r="H50" s="54"/>
      <c r="I50" s="131">
        <f>SUMIF(Worksheet!$B$265:$B$283,$A50,Worksheet!M$265:M$283)</f>
        <v>0</v>
      </c>
      <c r="J50" s="54"/>
      <c r="K50" s="131">
        <f>SUMIF(Worksheet!$B$265:$B$283,$A50,Worksheet!N$265:N$283)</f>
        <v>0</v>
      </c>
      <c r="L50" s="54"/>
      <c r="M50" s="131"/>
      <c r="N50" s="131">
        <f>SUMIF(Worksheet!$B$265:$B$283,$A50,Worksheet!O$265:O$283)</f>
        <v>0</v>
      </c>
      <c r="O50" s="131">
        <f>SUMIF(Worksheet!$B$265:$B$283,$A50,Worksheet!P$265:P$283)</f>
        <v>0</v>
      </c>
      <c r="P50" s="131">
        <f>SUMIF(Worksheet!$B$265:$B$283,$A50,Worksheet!Q$265:Q$283)</f>
        <v>0</v>
      </c>
    </row>
    <row r="51" spans="1:16" ht="12" customHeight="1" x14ac:dyDescent="0.2">
      <c r="A51" s="134"/>
      <c r="B51" s="60"/>
      <c r="C51" s="52"/>
      <c r="D51" s="52" t="s">
        <v>7</v>
      </c>
      <c r="E51" s="52"/>
      <c r="F51" s="53"/>
      <c r="G51" s="54">
        <f>SUM(G47:G50)</f>
        <v>0</v>
      </c>
      <c r="H51" s="54">
        <f t="shared" ref="H51:P51" si="10">SUM(H47:H50)</f>
        <v>0</v>
      </c>
      <c r="I51" s="54">
        <f t="shared" si="10"/>
        <v>0</v>
      </c>
      <c r="J51" s="54">
        <f t="shared" si="10"/>
        <v>0</v>
      </c>
      <c r="K51" s="54">
        <f t="shared" si="10"/>
        <v>0</v>
      </c>
      <c r="L51" s="54">
        <f t="shared" si="10"/>
        <v>0</v>
      </c>
      <c r="M51" s="54">
        <f t="shared" si="10"/>
        <v>0</v>
      </c>
      <c r="N51" s="54">
        <f t="shared" si="10"/>
        <v>0</v>
      </c>
      <c r="O51" s="54">
        <f t="shared" si="10"/>
        <v>0</v>
      </c>
      <c r="P51" s="54">
        <f t="shared" si="10"/>
        <v>0</v>
      </c>
    </row>
    <row r="52" spans="1:16" ht="12" customHeight="1" x14ac:dyDescent="0.2">
      <c r="A52" s="129"/>
      <c r="B52" s="60"/>
      <c r="C52" s="52"/>
      <c r="D52" s="52" t="s">
        <v>5</v>
      </c>
      <c r="E52" s="52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t="12" customHeight="1" x14ac:dyDescent="0.2">
      <c r="A53" s="129"/>
      <c r="B53" s="60"/>
      <c r="C53" s="52"/>
      <c r="D53" s="52"/>
      <c r="E53" s="52" t="s">
        <v>10</v>
      </c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t="12" customHeight="1" x14ac:dyDescent="0.2">
      <c r="A54" s="129"/>
      <c r="B54" s="60"/>
      <c r="C54" s="52"/>
      <c r="D54" s="52"/>
      <c r="E54" s="52" t="s">
        <v>11</v>
      </c>
      <c r="F54" s="53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t="12" customHeight="1" x14ac:dyDescent="0.2">
      <c r="A55" s="129" t="s">
        <v>151</v>
      </c>
      <c r="B55" s="60"/>
      <c r="C55" s="52"/>
      <c r="D55" s="52"/>
      <c r="E55" s="52" t="s">
        <v>37</v>
      </c>
      <c r="F55" s="53"/>
      <c r="G55" s="131">
        <f>SUMIF(Worksheet!$B$265:$B$283,$A55,Worksheet!I$265:I$283)</f>
        <v>0</v>
      </c>
      <c r="H55" s="132">
        <f>G55-SUM(I55:P55)</f>
        <v>0</v>
      </c>
      <c r="I55" s="131">
        <f>SUMIF(Worksheet!$B$265:$B$283,$A55,Worksheet!M$265:M$283)</f>
        <v>0</v>
      </c>
      <c r="J55" s="54"/>
      <c r="K55" s="131">
        <f>SUMIF(Worksheet!$B$265:$B$283,$A55,Worksheet!N$265:N$283)</f>
        <v>0</v>
      </c>
      <c r="L55" s="54"/>
      <c r="M55" s="131"/>
      <c r="N55" s="131">
        <f>SUMIF(Worksheet!$B$265:$B$283,$A55,Worksheet!O$265:O$283)</f>
        <v>0</v>
      </c>
      <c r="O55" s="131">
        <f>SUMIF(Worksheet!$B$265:$B$283,$A55,Worksheet!P$265:P$283)</f>
        <v>0</v>
      </c>
      <c r="P55" s="236">
        <f>SUMIF(Worksheet!$B$265:$B$283,$A55,Worksheet!Q$265:Q$283)-M55</f>
        <v>0</v>
      </c>
    </row>
    <row r="56" spans="1:16" ht="12" customHeight="1" x14ac:dyDescent="0.2">
      <c r="A56" s="129" t="s">
        <v>152</v>
      </c>
      <c r="B56" s="60"/>
      <c r="C56" s="52"/>
      <c r="D56" s="52"/>
      <c r="E56" s="52" t="s">
        <v>4</v>
      </c>
      <c r="F56" s="53"/>
      <c r="G56" s="131">
        <f>SUMIF(Worksheet!$B$265:$B$283,$A56,Worksheet!I$265:I$283)</f>
        <v>27596.900000000023</v>
      </c>
      <c r="H56" s="132">
        <f>G56-SUM(I56:P56)</f>
        <v>24478.05000005653</v>
      </c>
      <c r="I56" s="131">
        <f>SUMIF(Worksheet!$B$265:$B$283,$A56,Worksheet!M$265:M$283)</f>
        <v>0</v>
      </c>
      <c r="J56" s="54"/>
      <c r="K56" s="131">
        <f>SUMIF(Worksheet!$B$265:$B$283,$A56,Worksheet!N$265:N$283)</f>
        <v>3118.8499999434953</v>
      </c>
      <c r="L56" s="54"/>
      <c r="M56" s="236">
        <f>SUMIF(Worksheet!$B$265:$B$283,$A56,Worksheet!Q$265:Q$283)</f>
        <v>0</v>
      </c>
      <c r="N56" s="131">
        <f>SUMIF(Worksheet!$B$265:$B$283,$A56,Worksheet!O$265:O$283)</f>
        <v>0</v>
      </c>
      <c r="O56" s="131">
        <f>SUMIF(Worksheet!$B$265:$B$283,$A56,Worksheet!P$265:P$283)</f>
        <v>0</v>
      </c>
      <c r="P56" s="236">
        <f>SUMIF(Worksheet!$B$265:$B$283,$A56,Worksheet!Q$265:Q$283)-M56</f>
        <v>0</v>
      </c>
    </row>
    <row r="57" spans="1:16" ht="12" customHeight="1" x14ac:dyDescent="0.2">
      <c r="A57" s="134"/>
      <c r="B57" s="60"/>
      <c r="C57" s="52"/>
      <c r="D57" s="52" t="s">
        <v>8</v>
      </c>
      <c r="E57" s="52"/>
      <c r="F57" s="53"/>
      <c r="G57" s="54">
        <f>SUM(G53:G56)</f>
        <v>27596.900000000023</v>
      </c>
      <c r="H57" s="54">
        <f t="shared" ref="H57:P57" si="11">SUM(H53:H56)</f>
        <v>24478.05000005653</v>
      </c>
      <c r="I57" s="54">
        <f t="shared" si="11"/>
        <v>0</v>
      </c>
      <c r="J57" s="54">
        <f t="shared" si="11"/>
        <v>0</v>
      </c>
      <c r="K57" s="54">
        <f t="shared" si="11"/>
        <v>3118.8499999434953</v>
      </c>
      <c r="L57" s="54">
        <f t="shared" si="11"/>
        <v>0</v>
      </c>
      <c r="M57" s="54">
        <f t="shared" si="11"/>
        <v>0</v>
      </c>
      <c r="N57" s="54">
        <f t="shared" si="11"/>
        <v>0</v>
      </c>
      <c r="O57" s="54">
        <f t="shared" si="11"/>
        <v>0</v>
      </c>
      <c r="P57" s="54">
        <f t="shared" si="11"/>
        <v>0</v>
      </c>
    </row>
    <row r="58" spans="1:16" ht="12" customHeight="1" x14ac:dyDescent="0.2">
      <c r="A58" s="135"/>
      <c r="B58" s="55"/>
      <c r="C58" s="56" t="s">
        <v>13</v>
      </c>
      <c r="D58" s="56"/>
      <c r="E58" s="56"/>
      <c r="F58" s="57"/>
      <c r="G58" s="58">
        <f>G57+G51</f>
        <v>27596.900000000023</v>
      </c>
      <c r="H58" s="58">
        <f t="shared" ref="H58:P58" si="12">H57+H51</f>
        <v>24478.05000005653</v>
      </c>
      <c r="I58" s="58">
        <f t="shared" si="12"/>
        <v>0</v>
      </c>
      <c r="J58" s="58">
        <f t="shared" si="12"/>
        <v>0</v>
      </c>
      <c r="K58" s="58">
        <f t="shared" si="12"/>
        <v>3118.8499999434953</v>
      </c>
      <c r="L58" s="58">
        <f t="shared" si="12"/>
        <v>0</v>
      </c>
      <c r="M58" s="58">
        <f t="shared" si="12"/>
        <v>0</v>
      </c>
      <c r="N58" s="58">
        <f t="shared" si="12"/>
        <v>0</v>
      </c>
      <c r="O58" s="58">
        <f t="shared" si="12"/>
        <v>0</v>
      </c>
      <c r="P58" s="58">
        <f t="shared" si="12"/>
        <v>0</v>
      </c>
    </row>
    <row r="59" spans="1:16" ht="20.25" customHeight="1" x14ac:dyDescent="0.25">
      <c r="A59" s="138"/>
      <c r="B59" s="117" t="str">
        <f>"Total "&amp;B3</f>
        <v>Total Work Plan 7</v>
      </c>
      <c r="C59" s="105"/>
      <c r="D59" s="105"/>
      <c r="E59" s="105"/>
      <c r="F59" s="106"/>
      <c r="G59" s="107">
        <f>G22+G44+G58</f>
        <v>551938</v>
      </c>
      <c r="H59" s="107">
        <f t="shared" ref="H59:P59" si="13">H22+H44+H58</f>
        <v>489561.0000011301</v>
      </c>
      <c r="I59" s="107">
        <f t="shared" si="13"/>
        <v>0</v>
      </c>
      <c r="J59" s="107">
        <f t="shared" si="13"/>
        <v>0</v>
      </c>
      <c r="K59" s="107">
        <f t="shared" si="13"/>
        <v>62376.999998869862</v>
      </c>
      <c r="L59" s="107">
        <f t="shared" si="13"/>
        <v>0</v>
      </c>
      <c r="M59" s="107">
        <f t="shared" si="13"/>
        <v>0</v>
      </c>
      <c r="N59" s="107">
        <f t="shared" si="13"/>
        <v>0</v>
      </c>
      <c r="O59" s="107">
        <f t="shared" si="13"/>
        <v>0</v>
      </c>
      <c r="P59" s="107">
        <f t="shared" si="13"/>
        <v>0</v>
      </c>
    </row>
    <row r="60" spans="1:16" x14ac:dyDescent="0.2">
      <c r="A60" s="94"/>
    </row>
    <row r="61" spans="1:16" x14ac:dyDescent="0.2">
      <c r="A61" s="94"/>
      <c r="B61" s="48" t="s">
        <v>153</v>
      </c>
      <c r="G61" s="94">
        <f>Worksheet!J261</f>
        <v>551938.00001999992</v>
      </c>
      <c r="H61" s="94">
        <f>Worksheet!L261</f>
        <v>489561</v>
      </c>
      <c r="I61" s="94">
        <f>Worksheet!M261</f>
        <v>0</v>
      </c>
      <c r="K61" s="94">
        <f>Worksheet!N261</f>
        <v>62377</v>
      </c>
      <c r="N61" s="94">
        <f>Worksheet!O261</f>
        <v>0</v>
      </c>
      <c r="O61" s="94">
        <f>Worksheet!P261</f>
        <v>0</v>
      </c>
      <c r="P61" s="94">
        <f>Worksheet!Q261</f>
        <v>0</v>
      </c>
    </row>
    <row r="62" spans="1:16" x14ac:dyDescent="0.2">
      <c r="A62" s="94"/>
      <c r="B62" s="48" t="s">
        <v>132</v>
      </c>
      <c r="F62" s="232">
        <f>SUM(G62:P62)</f>
        <v>-1.9999955839011818E-5</v>
      </c>
      <c r="G62" s="94">
        <f>G59-G61</f>
        <v>-1.9999919459223747E-5</v>
      </c>
      <c r="H62" s="94">
        <f t="shared" ref="H62:P62" si="14">H59-H61</f>
        <v>1.1301017366349697E-6</v>
      </c>
      <c r="I62" s="94">
        <f t="shared" si="14"/>
        <v>0</v>
      </c>
      <c r="J62" s="94">
        <f t="shared" si="14"/>
        <v>0</v>
      </c>
      <c r="K62" s="94">
        <f t="shared" si="14"/>
        <v>-1.1301381164230406E-6</v>
      </c>
      <c r="L62" s="94">
        <f t="shared" si="14"/>
        <v>0</v>
      </c>
      <c r="M62" s="94">
        <f t="shared" si="14"/>
        <v>0</v>
      </c>
      <c r="N62" s="94">
        <f t="shared" si="14"/>
        <v>0</v>
      </c>
      <c r="O62" s="94">
        <f t="shared" si="14"/>
        <v>0</v>
      </c>
      <c r="P62" s="94">
        <f t="shared" si="14"/>
        <v>0</v>
      </c>
    </row>
  </sheetData>
  <sheetProtection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25" right="0.25" top="0.75" bottom="0.25" header="0.5" footer="0"/>
  <pageSetup scale="61" orientation="portrait" r:id="rId1"/>
  <headerFooter alignWithMargins="0">
    <oddHeader>&amp;REnclosure 2</oddHeader>
    <oddFooter>&amp;LPage 7&amp;Rver 3 (12/2007)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">
    <pageSetUpPr fitToPage="1"/>
  </sheetPr>
  <dimension ref="A1:S62"/>
  <sheetViews>
    <sheetView topLeftCell="A48" zoomScale="80" zoomScaleNormal="80" workbookViewId="0">
      <selection activeCell="F62" activeCellId="3" sqref="A19:A20 A30:A31 A55:A56 F62"/>
    </sheetView>
  </sheetViews>
  <sheetFormatPr defaultColWidth="0" defaultRowHeight="15" zeroHeight="1" x14ac:dyDescent="0.2"/>
  <cols>
    <col min="1" max="1" width="8.42578125" style="48" customWidth="1"/>
    <col min="2" max="2" width="11" style="48" customWidth="1"/>
    <col min="3" max="5" width="3.7109375" style="48" customWidth="1"/>
    <col min="6" max="6" width="33.85546875" style="48" customWidth="1"/>
    <col min="7" max="7" width="19.42578125" style="48" customWidth="1"/>
    <col min="8" max="8" width="16.140625" style="48" customWidth="1"/>
    <col min="9" max="9" width="20" style="48" customWidth="1"/>
    <col min="10" max="10" width="18.28515625" style="48" customWidth="1"/>
    <col min="11" max="11" width="19" style="48" customWidth="1"/>
    <col min="12" max="12" width="15.7109375" style="48" customWidth="1"/>
    <col min="13" max="13" width="19.7109375" style="48" customWidth="1"/>
    <col min="14" max="14" width="17.42578125" style="48" customWidth="1"/>
    <col min="15" max="15" width="16" style="48" customWidth="1"/>
    <col min="16" max="16" width="12.7109375" style="48" customWidth="1"/>
    <col min="17" max="19" width="12.7109375" hidden="1" customWidth="1"/>
  </cols>
  <sheetData>
    <row r="1" spans="1:19" ht="48.75" customHeight="1" x14ac:dyDescent="0.25">
      <c r="A1" s="231">
        <f>F62</f>
        <v>-1.9999992218799889E-5</v>
      </c>
      <c r="B1" s="173" t="str">
        <f>'CSS Pgm 1'!B1:$P$1</f>
        <v>Annual Mental Health Services Act Revenue and Expenditure Report for Fiscal Year 2007-08
Community Services and Supports (CSS) Programs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9" ht="27" customHeight="1" x14ac:dyDescent="0.25">
      <c r="A2" s="74"/>
      <c r="B2" s="47" t="s">
        <v>28</v>
      </c>
      <c r="C2" s="47"/>
      <c r="D2" s="47"/>
      <c r="E2" s="226" t="str">
        <f>'CSS Pgm 1'!E2</f>
        <v>Santa Cruz</v>
      </c>
      <c r="F2" s="226"/>
      <c r="G2" s="74"/>
      <c r="H2" s="74"/>
      <c r="I2" s="74"/>
      <c r="J2" s="74"/>
      <c r="K2" s="74"/>
      <c r="L2" s="74"/>
      <c r="M2" s="74"/>
      <c r="N2" s="74"/>
      <c r="O2" s="49" t="s">
        <v>29</v>
      </c>
      <c r="P2" s="78" t="str">
        <f>Worksheet!$N$2</f>
        <v>10/7/09</v>
      </c>
    </row>
    <row r="3" spans="1:19" ht="18.75" customHeight="1" x14ac:dyDescent="0.25">
      <c r="A3" s="74"/>
      <c r="B3" s="47" t="s">
        <v>226</v>
      </c>
      <c r="C3" s="47"/>
      <c r="D3" s="47"/>
      <c r="E3" s="224" t="str">
        <f>Worksheet!D291</f>
        <v>Community Support Services</v>
      </c>
      <c r="F3" s="225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ht="12" customHeight="1" x14ac:dyDescent="0.2">
      <c r="A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s="3" customFormat="1" ht="21" customHeight="1" x14ac:dyDescent="0.25">
      <c r="A5" s="163"/>
      <c r="B5" s="174" t="s">
        <v>30</v>
      </c>
      <c r="C5" s="175"/>
      <c r="D5" s="175"/>
      <c r="E5" s="175"/>
      <c r="F5" s="176"/>
      <c r="G5" s="75" t="s">
        <v>19</v>
      </c>
      <c r="H5" s="101" t="s">
        <v>20</v>
      </c>
      <c r="I5" s="101" t="s">
        <v>27</v>
      </c>
      <c r="J5" s="101" t="s">
        <v>21</v>
      </c>
      <c r="K5" s="101" t="s">
        <v>22</v>
      </c>
      <c r="L5" s="101" t="s">
        <v>23</v>
      </c>
      <c r="M5" s="101" t="s">
        <v>24</v>
      </c>
      <c r="N5" s="101" t="s">
        <v>25</v>
      </c>
      <c r="O5" s="101" t="s">
        <v>26</v>
      </c>
      <c r="P5" s="101" t="s">
        <v>63</v>
      </c>
    </row>
    <row r="6" spans="1:19" s="3" customFormat="1" ht="15" customHeight="1" x14ac:dyDescent="0.25">
      <c r="A6" s="163"/>
      <c r="B6" s="177"/>
      <c r="C6" s="178"/>
      <c r="D6" s="178"/>
      <c r="E6" s="178"/>
      <c r="F6" s="179"/>
      <c r="G6" s="171" t="s">
        <v>6</v>
      </c>
      <c r="H6" s="201" t="s">
        <v>36</v>
      </c>
      <c r="I6" s="202"/>
      <c r="J6" s="202"/>
      <c r="K6" s="202"/>
      <c r="L6" s="202"/>
      <c r="M6" s="202"/>
      <c r="N6" s="202"/>
      <c r="O6" s="202"/>
      <c r="P6" s="203"/>
    </row>
    <row r="7" spans="1:19" s="1" customFormat="1" ht="42" customHeight="1" x14ac:dyDescent="0.2">
      <c r="A7" s="164"/>
      <c r="B7" s="180"/>
      <c r="C7" s="181"/>
      <c r="D7" s="181"/>
      <c r="E7" s="181"/>
      <c r="F7" s="182"/>
      <c r="G7" s="172"/>
      <c r="H7" s="119" t="s">
        <v>0</v>
      </c>
      <c r="I7" s="119" t="s">
        <v>35</v>
      </c>
      <c r="J7" s="119" t="s">
        <v>18</v>
      </c>
      <c r="K7" s="119" t="s">
        <v>1</v>
      </c>
      <c r="L7" s="119" t="s">
        <v>15</v>
      </c>
      <c r="M7" s="119" t="s">
        <v>16</v>
      </c>
      <c r="N7" s="119" t="s">
        <v>2</v>
      </c>
      <c r="O7" s="119" t="s">
        <v>17</v>
      </c>
      <c r="P7" s="97" t="s">
        <v>62</v>
      </c>
      <c r="Q7" s="2"/>
      <c r="R7" s="2"/>
      <c r="S7" s="2"/>
    </row>
    <row r="8" spans="1:19" ht="25.5" customHeight="1" x14ac:dyDescent="0.25">
      <c r="A8" s="125"/>
      <c r="B8" s="86" t="str">
        <f>B3</f>
        <v>Work Plan 8</v>
      </c>
      <c r="C8" s="87"/>
      <c r="D8" s="87"/>
      <c r="E8" s="87"/>
      <c r="F8" s="88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9" ht="12" customHeight="1" x14ac:dyDescent="0.2">
      <c r="A9" s="127"/>
      <c r="B9" s="60"/>
      <c r="C9" s="211" t="s">
        <v>85</v>
      </c>
      <c r="D9" s="211"/>
      <c r="E9" s="211"/>
      <c r="F9" s="212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9" ht="12" customHeight="1" x14ac:dyDescent="0.2">
      <c r="A10" s="129"/>
      <c r="B10" s="60"/>
      <c r="C10" s="52"/>
      <c r="D10" s="52" t="s">
        <v>3</v>
      </c>
      <c r="E10" s="52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9" ht="12" customHeight="1" x14ac:dyDescent="0.2">
      <c r="A11" s="129"/>
      <c r="B11" s="60"/>
      <c r="C11" s="52"/>
      <c r="D11" s="52"/>
      <c r="E11" s="52" t="s">
        <v>10</v>
      </c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9" ht="12" customHeight="1" x14ac:dyDescent="0.2">
      <c r="A12" s="129"/>
      <c r="B12" s="60"/>
      <c r="C12" s="52"/>
      <c r="D12" s="52"/>
      <c r="E12" s="52" t="s">
        <v>11</v>
      </c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9" ht="12" customHeight="1" x14ac:dyDescent="0.2">
      <c r="A13" s="130" t="s">
        <v>138</v>
      </c>
      <c r="B13" s="60"/>
      <c r="C13" s="52"/>
      <c r="D13" s="52"/>
      <c r="E13" s="52" t="s">
        <v>37</v>
      </c>
      <c r="F13" s="53"/>
      <c r="G13" s="131">
        <f>SUMIF(Worksheet!$B$301:$B$319,$A13,Worksheet!I$301:I$319)</f>
        <v>0</v>
      </c>
      <c r="H13" s="132">
        <f>G13-SUM(I13:P13)</f>
        <v>0</v>
      </c>
      <c r="I13" s="131">
        <f>SUMIF(Worksheet!$B$301:$B$319,$A13,Worksheet!M$301:M$319)</f>
        <v>0</v>
      </c>
      <c r="J13" s="54"/>
      <c r="K13" s="131">
        <f>SUMIF(Worksheet!$B$301:$B$319,$A13,Worksheet!N$301:N$319)</f>
        <v>0</v>
      </c>
      <c r="L13" s="54"/>
      <c r="M13" s="131"/>
      <c r="N13" s="131">
        <f>SUMIF(Worksheet!$B$301:$B$319,$A13,Worksheet!O$301:O$319)</f>
        <v>0</v>
      </c>
      <c r="O13" s="131">
        <f>SUMIF(Worksheet!$B$301:$B$319,$A13,Worksheet!P$301:P$319)</f>
        <v>0</v>
      </c>
      <c r="P13" s="131">
        <f>SUMIF(Worksheet!$B$301:$B$319,$A13,Worksheet!Q$301:Q$319)</f>
        <v>0</v>
      </c>
    </row>
    <row r="14" spans="1:19" ht="12" customHeight="1" x14ac:dyDescent="0.2">
      <c r="A14" s="130" t="s">
        <v>142</v>
      </c>
      <c r="B14" s="60"/>
      <c r="C14" s="52"/>
      <c r="D14" s="52"/>
      <c r="E14" s="52" t="s">
        <v>4</v>
      </c>
      <c r="F14" s="53"/>
      <c r="G14" s="131">
        <f>SUMIF(Worksheet!$B$301:$B$319,$A14,Worksheet!I$301:I$319)</f>
        <v>0</v>
      </c>
      <c r="H14" s="132">
        <f>G14-SUM(I14:P14)</f>
        <v>0</v>
      </c>
      <c r="I14" s="131">
        <f>SUMIF(Worksheet!$B$301:$B$319,$A14,Worksheet!M$301:M$319)</f>
        <v>0</v>
      </c>
      <c r="J14" s="54"/>
      <c r="K14" s="131">
        <f>SUMIF(Worksheet!$B$301:$B$319,$A14,Worksheet!N$301:N$319)</f>
        <v>0</v>
      </c>
      <c r="L14" s="54"/>
      <c r="M14" s="131"/>
      <c r="N14" s="131">
        <f>SUMIF(Worksheet!$B$301:$B$319,$A14,Worksheet!O$301:O$319)</f>
        <v>0</v>
      </c>
      <c r="O14" s="131">
        <f>SUMIF(Worksheet!$B$301:$B$319,$A14,Worksheet!P$301:P$319)</f>
        <v>0</v>
      </c>
      <c r="P14" s="131">
        <f>SUMIF(Worksheet!$B$301:$B$319,$A14,Worksheet!Q$301:Q$319)</f>
        <v>0</v>
      </c>
    </row>
    <row r="15" spans="1:19" ht="12" customHeight="1" x14ac:dyDescent="0.2">
      <c r="A15" s="134"/>
      <c r="B15" s="60"/>
      <c r="C15" s="52"/>
      <c r="D15" s="52" t="s">
        <v>7</v>
      </c>
      <c r="E15" s="52"/>
      <c r="F15" s="53"/>
      <c r="G15" s="54">
        <f>SUM(G11:G14)</f>
        <v>0</v>
      </c>
      <c r="H15" s="54">
        <f t="shared" ref="H15:P15" si="0">SUM(H11:H14)</f>
        <v>0</v>
      </c>
      <c r="I15" s="54">
        <f t="shared" si="0"/>
        <v>0</v>
      </c>
      <c r="J15" s="54">
        <f t="shared" si="0"/>
        <v>0</v>
      </c>
      <c r="K15" s="54">
        <f t="shared" si="0"/>
        <v>0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54">
        <f t="shared" si="0"/>
        <v>0</v>
      </c>
    </row>
    <row r="16" spans="1:19" ht="12" customHeight="1" x14ac:dyDescent="0.2">
      <c r="A16" s="129"/>
      <c r="B16" s="60"/>
      <c r="C16" s="52"/>
      <c r="D16" s="52" t="s">
        <v>5</v>
      </c>
      <c r="E16" s="52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12" customHeight="1" x14ac:dyDescent="0.2">
      <c r="A17" s="129"/>
      <c r="B17" s="60"/>
      <c r="C17" s="52"/>
      <c r="D17" s="52"/>
      <c r="E17" s="52" t="s">
        <v>10</v>
      </c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t="12" customHeight="1" x14ac:dyDescent="0.2">
      <c r="A18" s="129"/>
      <c r="B18" s="60"/>
      <c r="C18" s="52"/>
      <c r="D18" s="52"/>
      <c r="E18" s="52" t="s">
        <v>11</v>
      </c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t="12" customHeight="1" x14ac:dyDescent="0.2">
      <c r="A19" s="129" t="s">
        <v>143</v>
      </c>
      <c r="B19" s="60"/>
      <c r="C19" s="52"/>
      <c r="D19" s="52"/>
      <c r="E19" s="52" t="s">
        <v>37</v>
      </c>
      <c r="F19" s="53"/>
      <c r="G19" s="131">
        <f>SUMIF(Worksheet!$B$301:$B$319,$A19,Worksheet!I$301:I$319)</f>
        <v>0</v>
      </c>
      <c r="H19" s="132">
        <f>G19-SUM(I19:P19)</f>
        <v>0</v>
      </c>
      <c r="I19" s="131">
        <f>SUMIF(Worksheet!$B$301:$B$319,$A19,Worksheet!M$301:M$319)</f>
        <v>0</v>
      </c>
      <c r="J19" s="54"/>
      <c r="K19" s="131">
        <f>SUMIF(Worksheet!$B$301:$B$319,$A19,Worksheet!N$301:N$319)</f>
        <v>0</v>
      </c>
      <c r="L19" s="54"/>
      <c r="M19" s="131"/>
      <c r="N19" s="131">
        <f>SUMIF(Worksheet!$B$301:$B$319,$A19,Worksheet!O$301:O$319)</f>
        <v>0</v>
      </c>
      <c r="O19" s="131">
        <f>SUMIF(Worksheet!$B$301:$B$319,$A19,Worksheet!P$301:P$319)</f>
        <v>0</v>
      </c>
      <c r="P19" s="131">
        <f>SUMIF(Worksheet!$B$301:$B$319,$A19,Worksheet!Q$301:Q$319)</f>
        <v>0</v>
      </c>
    </row>
    <row r="20" spans="1:16" ht="12" customHeight="1" x14ac:dyDescent="0.2">
      <c r="A20" s="129" t="s">
        <v>144</v>
      </c>
      <c r="B20" s="60"/>
      <c r="C20" s="52"/>
      <c r="D20" s="52"/>
      <c r="E20" s="52" t="s">
        <v>4</v>
      </c>
      <c r="F20" s="53"/>
      <c r="G20" s="131">
        <f>SUMIF(Worksheet!$B$301:$B$319,$A20,Worksheet!I$301:I$319)</f>
        <v>82714.799999999988</v>
      </c>
      <c r="H20" s="132">
        <f>G20-SUM(I20:P20)</f>
        <v>65378.600000733553</v>
      </c>
      <c r="I20" s="131">
        <f>SUMIF(Worksheet!$B$301:$B$319,$A20,Worksheet!M$301:M$319)</f>
        <v>0</v>
      </c>
      <c r="J20" s="54"/>
      <c r="K20" s="131">
        <f>SUMIF(Worksheet!$B$301:$B$319,$A20,Worksheet!N$301:N$319)</f>
        <v>17336.199999266435</v>
      </c>
      <c r="L20" s="54"/>
      <c r="M20" s="131"/>
      <c r="N20" s="131">
        <f>SUMIF(Worksheet!$B$301:$B$319,$A20,Worksheet!O$301:O$319)</f>
        <v>0</v>
      </c>
      <c r="O20" s="131">
        <f>SUMIF(Worksheet!$B$301:$B$319,$A20,Worksheet!P$301:P$319)</f>
        <v>0</v>
      </c>
      <c r="P20" s="131">
        <f>SUMIF(Worksheet!$B$301:$B$319,$A20,Worksheet!Q$301:Q$319)</f>
        <v>0</v>
      </c>
    </row>
    <row r="21" spans="1:16" ht="12" customHeight="1" x14ac:dyDescent="0.2">
      <c r="A21" s="134"/>
      <c r="B21" s="60"/>
      <c r="C21" s="52"/>
      <c r="D21" s="52" t="s">
        <v>8</v>
      </c>
      <c r="E21" s="52"/>
      <c r="F21" s="53"/>
      <c r="G21" s="54">
        <f>SUM(G17:G20)</f>
        <v>82714.799999999988</v>
      </c>
      <c r="H21" s="54">
        <f t="shared" ref="H21:P21" si="1">SUM(H17:H20)</f>
        <v>65378.600000733553</v>
      </c>
      <c r="I21" s="54">
        <f t="shared" si="1"/>
        <v>0</v>
      </c>
      <c r="J21" s="54">
        <f t="shared" si="1"/>
        <v>0</v>
      </c>
      <c r="K21" s="54">
        <f t="shared" si="1"/>
        <v>17336.199999266435</v>
      </c>
      <c r="L21" s="54">
        <f t="shared" si="1"/>
        <v>0</v>
      </c>
      <c r="M21" s="54">
        <f t="shared" si="1"/>
        <v>0</v>
      </c>
      <c r="N21" s="54">
        <f t="shared" si="1"/>
        <v>0</v>
      </c>
      <c r="O21" s="54">
        <f t="shared" si="1"/>
        <v>0</v>
      </c>
      <c r="P21" s="54">
        <f t="shared" si="1"/>
        <v>0</v>
      </c>
    </row>
    <row r="22" spans="1:16" ht="12" customHeight="1" x14ac:dyDescent="0.2">
      <c r="A22" s="135"/>
      <c r="B22" s="55"/>
      <c r="C22" s="56" t="s">
        <v>9</v>
      </c>
      <c r="D22" s="56"/>
      <c r="E22" s="56"/>
      <c r="F22" s="57"/>
      <c r="G22" s="58">
        <f>G15+G21</f>
        <v>82714.799999999988</v>
      </c>
      <c r="H22" s="58">
        <f t="shared" ref="H22:P22" si="2">H15+H21</f>
        <v>65378.600000733553</v>
      </c>
      <c r="I22" s="58">
        <f t="shared" si="2"/>
        <v>0</v>
      </c>
      <c r="J22" s="58">
        <f t="shared" si="2"/>
        <v>0</v>
      </c>
      <c r="K22" s="58">
        <f t="shared" si="2"/>
        <v>17336.199999266435</v>
      </c>
      <c r="L22" s="58">
        <f t="shared" si="2"/>
        <v>0</v>
      </c>
      <c r="M22" s="58">
        <f t="shared" si="2"/>
        <v>0</v>
      </c>
      <c r="N22" s="58">
        <f t="shared" si="2"/>
        <v>0</v>
      </c>
      <c r="O22" s="58">
        <f t="shared" si="2"/>
        <v>0</v>
      </c>
      <c r="P22" s="58">
        <f t="shared" si="2"/>
        <v>0</v>
      </c>
    </row>
    <row r="23" spans="1:16" ht="12" customHeight="1" x14ac:dyDescent="0.2">
      <c r="A23" s="127"/>
      <c r="B23" s="60"/>
      <c r="C23" s="213" t="s">
        <v>79</v>
      </c>
      <c r="D23" s="213"/>
      <c r="E23" s="213"/>
      <c r="F23" s="21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t="12" customHeight="1" x14ac:dyDescent="0.2">
      <c r="A24" s="129"/>
      <c r="B24" s="60"/>
      <c r="C24" s="52"/>
      <c r="D24" s="52" t="s">
        <v>31</v>
      </c>
      <c r="E24" s="52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t="12" customHeight="1" x14ac:dyDescent="0.2">
      <c r="A25" s="129"/>
      <c r="B25" s="60"/>
      <c r="C25" s="52"/>
      <c r="D25" s="52"/>
      <c r="E25" s="52" t="s">
        <v>3</v>
      </c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t="12" customHeight="1" x14ac:dyDescent="0.2">
      <c r="A26" s="130" t="s">
        <v>145</v>
      </c>
      <c r="B26" s="60"/>
      <c r="C26" s="52"/>
      <c r="D26" s="52"/>
      <c r="E26" s="52"/>
      <c r="F26" s="53" t="s">
        <v>37</v>
      </c>
      <c r="G26" s="131">
        <f>SUMIF(Worksheet!$B$301:$B$319,$A26,Worksheet!I$301:I$319)</f>
        <v>0</v>
      </c>
      <c r="H26" s="132">
        <f>G26-SUM(I26:P26)</f>
        <v>0</v>
      </c>
      <c r="I26" s="131">
        <f>SUMIF(Worksheet!$B$301:$B$319,$A26,Worksheet!M$301:M$319)</f>
        <v>0</v>
      </c>
      <c r="J26" s="54"/>
      <c r="K26" s="131">
        <f>SUMIF(Worksheet!$B$301:$B$319,$A26,Worksheet!N$301:N$319)</f>
        <v>0</v>
      </c>
      <c r="L26" s="54"/>
      <c r="M26" s="131"/>
      <c r="N26" s="131">
        <f>SUMIF(Worksheet!$B$301:$B$319,$A26,Worksheet!O$301:O$319)</f>
        <v>0</v>
      </c>
      <c r="O26" s="131">
        <f>SUMIF(Worksheet!$B$301:$B$319,$A26,Worksheet!P$301:P$319)</f>
        <v>0</v>
      </c>
      <c r="P26" s="131">
        <f>SUMIF(Worksheet!$B$301:$B$319,$A26,Worksheet!Q$301:Q$319)</f>
        <v>0</v>
      </c>
    </row>
    <row r="27" spans="1:16" ht="12" customHeight="1" x14ac:dyDescent="0.2">
      <c r="A27" s="130" t="s">
        <v>146</v>
      </c>
      <c r="B27" s="60"/>
      <c r="C27" s="52"/>
      <c r="D27" s="52"/>
      <c r="E27" s="52"/>
      <c r="F27" s="53" t="s">
        <v>4</v>
      </c>
      <c r="G27" s="131">
        <f>SUMIF(Worksheet!$B$301:$B$319,$A27,Worksheet!I$301:I$319)</f>
        <v>0</v>
      </c>
      <c r="H27" s="132">
        <f>G27-SUM(I27:P27)</f>
        <v>0</v>
      </c>
      <c r="I27" s="131">
        <f>SUMIF(Worksheet!$B$301:$B$319,$A27,Worksheet!M$301:M$319)</f>
        <v>0</v>
      </c>
      <c r="J27" s="54"/>
      <c r="K27" s="131">
        <f>SUMIF(Worksheet!$B$301:$B$319,$A27,Worksheet!N$301:N$319)</f>
        <v>0</v>
      </c>
      <c r="L27" s="54"/>
      <c r="M27" s="131"/>
      <c r="N27" s="131">
        <f>SUMIF(Worksheet!$B$301:$B$319,$A27,Worksheet!O$301:O$319)</f>
        <v>0</v>
      </c>
      <c r="O27" s="131">
        <f>SUMIF(Worksheet!$B$301:$B$319,$A27,Worksheet!P$301:P$319)</f>
        <v>0</v>
      </c>
      <c r="P27" s="131">
        <f>SUMIF(Worksheet!$B$301:$B$319,$A27,Worksheet!Q$301:Q$319)</f>
        <v>0</v>
      </c>
    </row>
    <row r="28" spans="1:16" ht="12" customHeight="1" x14ac:dyDescent="0.2">
      <c r="A28" s="134"/>
      <c r="B28" s="60"/>
      <c r="C28" s="52"/>
      <c r="D28" s="52"/>
      <c r="E28" s="52" t="s">
        <v>7</v>
      </c>
      <c r="F28" s="53"/>
      <c r="G28" s="54">
        <f>SUM(G26:G27)</f>
        <v>0</v>
      </c>
      <c r="H28" s="54">
        <f t="shared" ref="H28:P28" si="3">SUM(H26:H27)</f>
        <v>0</v>
      </c>
      <c r="I28" s="54">
        <f t="shared" si="3"/>
        <v>0</v>
      </c>
      <c r="J28" s="54">
        <f t="shared" si="3"/>
        <v>0</v>
      </c>
      <c r="K28" s="54">
        <f t="shared" si="3"/>
        <v>0</v>
      </c>
      <c r="L28" s="54">
        <f t="shared" si="3"/>
        <v>0</v>
      </c>
      <c r="M28" s="54">
        <f t="shared" si="3"/>
        <v>0</v>
      </c>
      <c r="N28" s="54">
        <f t="shared" si="3"/>
        <v>0</v>
      </c>
      <c r="O28" s="54">
        <f t="shared" si="3"/>
        <v>0</v>
      </c>
      <c r="P28" s="54">
        <f t="shared" si="3"/>
        <v>0</v>
      </c>
    </row>
    <row r="29" spans="1:16" ht="12" customHeight="1" x14ac:dyDescent="0.2">
      <c r="A29" s="129"/>
      <c r="B29" s="60"/>
      <c r="C29" s="52"/>
      <c r="D29" s="52"/>
      <c r="E29" s="52" t="s">
        <v>5</v>
      </c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t="12" customHeight="1" x14ac:dyDescent="0.2">
      <c r="A30" s="129" t="s">
        <v>147</v>
      </c>
      <c r="B30" s="60"/>
      <c r="C30" s="52"/>
      <c r="D30" s="52"/>
      <c r="E30" s="52"/>
      <c r="F30" s="53" t="s">
        <v>37</v>
      </c>
      <c r="G30" s="131">
        <f>SUMIF(Worksheet!$B$301:$B$319,$A30,Worksheet!I$301:I$319)</f>
        <v>0</v>
      </c>
      <c r="H30" s="132">
        <f>G30-SUM(I30:P30)</f>
        <v>0</v>
      </c>
      <c r="I30" s="131">
        <f>SUMIF(Worksheet!$B$301:$B$319,$A30,Worksheet!M$301:M$319)</f>
        <v>0</v>
      </c>
      <c r="J30" s="54"/>
      <c r="K30" s="131">
        <f>SUMIF(Worksheet!$B$301:$B$319,$A30,Worksheet!N$301:N$319)</f>
        <v>0</v>
      </c>
      <c r="L30" s="54"/>
      <c r="M30" s="131"/>
      <c r="N30" s="131">
        <f>SUMIF(Worksheet!$B$301:$B$319,$A30,Worksheet!O$301:O$319)</f>
        <v>0</v>
      </c>
      <c r="O30" s="131">
        <f>SUMIF(Worksheet!$B$301:$B$319,$A30,Worksheet!P$301:P$319)</f>
        <v>0</v>
      </c>
      <c r="P30" s="131">
        <f>SUMIF(Worksheet!$B$301:$B$319,$A30,Worksheet!Q$301:Q$319)</f>
        <v>0</v>
      </c>
    </row>
    <row r="31" spans="1:16" ht="12" customHeight="1" x14ac:dyDescent="0.2">
      <c r="A31" s="129" t="s">
        <v>148</v>
      </c>
      <c r="B31" s="60"/>
      <c r="C31" s="52"/>
      <c r="D31" s="52"/>
      <c r="E31" s="52"/>
      <c r="F31" s="53" t="s">
        <v>4</v>
      </c>
      <c r="G31" s="131">
        <f>SUMIF(Worksheet!$B$301:$B$319,$A31,Worksheet!I$301:I$319)</f>
        <v>141796.79999999999</v>
      </c>
      <c r="H31" s="132">
        <f>G31-SUM(I31:P31)</f>
        <v>112077.60000125752</v>
      </c>
      <c r="I31" s="131">
        <f>SUMIF(Worksheet!$B$301:$B$319,$A31,Worksheet!M$301:M$319)</f>
        <v>0</v>
      </c>
      <c r="J31" s="54"/>
      <c r="K31" s="131">
        <f>SUMIF(Worksheet!$B$301:$B$319,$A31,Worksheet!N$301:N$319)</f>
        <v>29719.199998742457</v>
      </c>
      <c r="L31" s="54"/>
      <c r="M31" s="131"/>
      <c r="N31" s="131">
        <f>SUMIF(Worksheet!$B$301:$B$319,$A31,Worksheet!O$301:O$319)</f>
        <v>0</v>
      </c>
      <c r="O31" s="131">
        <f>SUMIF(Worksheet!$B$301:$B$319,$A31,Worksheet!P$301:P$319)</f>
        <v>0</v>
      </c>
      <c r="P31" s="131">
        <f>SUMIF(Worksheet!$B$301:$B$319,$A31,Worksheet!Q$301:Q$319)</f>
        <v>0</v>
      </c>
    </row>
    <row r="32" spans="1:16" ht="12" customHeight="1" x14ac:dyDescent="0.2">
      <c r="A32" s="134"/>
      <c r="B32" s="60"/>
      <c r="C32" s="52"/>
      <c r="D32" s="52"/>
      <c r="E32" s="52" t="s">
        <v>8</v>
      </c>
      <c r="F32" s="53"/>
      <c r="G32" s="54">
        <f>SUM(G30:G31)</f>
        <v>141796.79999999999</v>
      </c>
      <c r="H32" s="54">
        <f t="shared" ref="H32:P32" si="4">SUM(H30:H31)</f>
        <v>112077.60000125752</v>
      </c>
      <c r="I32" s="54">
        <f t="shared" si="4"/>
        <v>0</v>
      </c>
      <c r="J32" s="54">
        <f t="shared" si="4"/>
        <v>0</v>
      </c>
      <c r="K32" s="54">
        <f t="shared" si="4"/>
        <v>29719.199998742457</v>
      </c>
      <c r="L32" s="54">
        <f t="shared" si="4"/>
        <v>0</v>
      </c>
      <c r="M32" s="54">
        <f t="shared" si="4"/>
        <v>0</v>
      </c>
      <c r="N32" s="54">
        <f t="shared" si="4"/>
        <v>0</v>
      </c>
      <c r="O32" s="54">
        <f t="shared" si="4"/>
        <v>0</v>
      </c>
      <c r="P32" s="54">
        <f t="shared" si="4"/>
        <v>0</v>
      </c>
    </row>
    <row r="33" spans="1:16" ht="12" customHeight="1" x14ac:dyDescent="0.2">
      <c r="A33" s="134"/>
      <c r="B33" s="60"/>
      <c r="C33" s="52"/>
      <c r="D33" s="52" t="s">
        <v>32</v>
      </c>
      <c r="E33" s="52"/>
      <c r="F33" s="53"/>
      <c r="G33" s="54">
        <f>G28+G32</f>
        <v>141796.79999999999</v>
      </c>
      <c r="H33" s="54">
        <f t="shared" ref="H33:P33" si="5">H28+H32</f>
        <v>112077.60000125752</v>
      </c>
      <c r="I33" s="54">
        <f t="shared" si="5"/>
        <v>0</v>
      </c>
      <c r="J33" s="54">
        <f t="shared" si="5"/>
        <v>0</v>
      </c>
      <c r="K33" s="54">
        <f t="shared" si="5"/>
        <v>29719.199998742457</v>
      </c>
      <c r="L33" s="54">
        <f t="shared" si="5"/>
        <v>0</v>
      </c>
      <c r="M33" s="54">
        <f t="shared" si="5"/>
        <v>0</v>
      </c>
      <c r="N33" s="54">
        <f t="shared" si="5"/>
        <v>0</v>
      </c>
      <c r="O33" s="54">
        <f t="shared" si="5"/>
        <v>0</v>
      </c>
      <c r="P33" s="54">
        <f t="shared" si="5"/>
        <v>0</v>
      </c>
    </row>
    <row r="34" spans="1:16" ht="12" customHeight="1" x14ac:dyDescent="0.2">
      <c r="A34" s="129"/>
      <c r="B34" s="60"/>
      <c r="C34" s="52"/>
      <c r="D34" s="52" t="s">
        <v>33</v>
      </c>
      <c r="E34" s="52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t="12" customHeight="1" x14ac:dyDescent="0.2">
      <c r="A35" s="129"/>
      <c r="B35" s="60"/>
      <c r="C35" s="52"/>
      <c r="D35" s="52"/>
      <c r="E35" s="52" t="s">
        <v>3</v>
      </c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t="12" customHeight="1" x14ac:dyDescent="0.2">
      <c r="A36" s="129"/>
      <c r="B36" s="60"/>
      <c r="C36" s="52"/>
      <c r="D36" s="52"/>
      <c r="E36" s="52"/>
      <c r="F36" s="53" t="s">
        <v>37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t="12" customHeight="1" x14ac:dyDescent="0.2">
      <c r="A37" s="129"/>
      <c r="B37" s="60"/>
      <c r="C37" s="52"/>
      <c r="D37" s="52"/>
      <c r="E37" s="52"/>
      <c r="F37" s="53" t="s">
        <v>4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t="12" customHeight="1" x14ac:dyDescent="0.2">
      <c r="A38" s="134"/>
      <c r="B38" s="60"/>
      <c r="C38" s="52"/>
      <c r="D38" s="52"/>
      <c r="E38" s="52" t="s">
        <v>7</v>
      </c>
      <c r="F38" s="53"/>
      <c r="G38" s="54">
        <f>SUM(G36:G37)</f>
        <v>0</v>
      </c>
      <c r="H38" s="54">
        <f t="shared" ref="H38:P38" si="6">SUM(H36:H37)</f>
        <v>0</v>
      </c>
      <c r="I38" s="54">
        <f t="shared" si="6"/>
        <v>0</v>
      </c>
      <c r="J38" s="54">
        <f t="shared" si="6"/>
        <v>0</v>
      </c>
      <c r="K38" s="54">
        <f t="shared" si="6"/>
        <v>0</v>
      </c>
      <c r="L38" s="54">
        <f t="shared" si="6"/>
        <v>0</v>
      </c>
      <c r="M38" s="54">
        <f t="shared" si="6"/>
        <v>0</v>
      </c>
      <c r="N38" s="54">
        <f t="shared" si="6"/>
        <v>0</v>
      </c>
      <c r="O38" s="54">
        <f t="shared" si="6"/>
        <v>0</v>
      </c>
      <c r="P38" s="54">
        <f t="shared" si="6"/>
        <v>0</v>
      </c>
    </row>
    <row r="39" spans="1:16" ht="12" customHeight="1" x14ac:dyDescent="0.2">
      <c r="A39" s="129"/>
      <c r="B39" s="60"/>
      <c r="C39" s="52"/>
      <c r="D39" s="52"/>
      <c r="E39" s="52" t="s">
        <v>5</v>
      </c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t="12" customHeight="1" x14ac:dyDescent="0.2">
      <c r="A40" s="129"/>
      <c r="B40" s="60"/>
      <c r="C40" s="52"/>
      <c r="D40" s="52"/>
      <c r="E40" s="52"/>
      <c r="F40" s="53" t="s">
        <v>37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t="12" customHeight="1" x14ac:dyDescent="0.2">
      <c r="A41" s="129"/>
      <c r="B41" s="60"/>
      <c r="C41" s="52"/>
      <c r="D41" s="52"/>
      <c r="E41" s="52"/>
      <c r="F41" s="53" t="s">
        <v>4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t="12" customHeight="1" x14ac:dyDescent="0.2">
      <c r="A42" s="134"/>
      <c r="B42" s="60"/>
      <c r="C42" s="52"/>
      <c r="D42" s="52"/>
      <c r="E42" s="52" t="s">
        <v>8</v>
      </c>
      <c r="F42" s="53"/>
      <c r="G42" s="54">
        <f>SUM(G40:G41)</f>
        <v>0</v>
      </c>
      <c r="H42" s="54">
        <f t="shared" ref="H42:P42" si="7">SUM(H40:H41)</f>
        <v>0</v>
      </c>
      <c r="I42" s="54">
        <f t="shared" si="7"/>
        <v>0</v>
      </c>
      <c r="J42" s="54">
        <f t="shared" si="7"/>
        <v>0</v>
      </c>
      <c r="K42" s="54">
        <f t="shared" si="7"/>
        <v>0</v>
      </c>
      <c r="L42" s="54">
        <f t="shared" si="7"/>
        <v>0</v>
      </c>
      <c r="M42" s="54">
        <f t="shared" si="7"/>
        <v>0</v>
      </c>
      <c r="N42" s="54">
        <f t="shared" si="7"/>
        <v>0</v>
      </c>
      <c r="O42" s="54">
        <f t="shared" si="7"/>
        <v>0</v>
      </c>
      <c r="P42" s="54">
        <f t="shared" si="7"/>
        <v>0</v>
      </c>
    </row>
    <row r="43" spans="1:16" ht="12" customHeight="1" x14ac:dyDescent="0.2">
      <c r="A43" s="134"/>
      <c r="B43" s="60"/>
      <c r="C43" s="52"/>
      <c r="D43" s="52" t="s">
        <v>34</v>
      </c>
      <c r="E43" s="52"/>
      <c r="F43" s="53"/>
      <c r="G43" s="54">
        <f>G38+G42</f>
        <v>0</v>
      </c>
      <c r="H43" s="54">
        <f t="shared" ref="H43:P43" si="8">H38+H42</f>
        <v>0</v>
      </c>
      <c r="I43" s="54">
        <f t="shared" si="8"/>
        <v>0</v>
      </c>
      <c r="J43" s="54">
        <f t="shared" si="8"/>
        <v>0</v>
      </c>
      <c r="K43" s="54">
        <f t="shared" si="8"/>
        <v>0</v>
      </c>
      <c r="L43" s="54">
        <f t="shared" si="8"/>
        <v>0</v>
      </c>
      <c r="M43" s="54">
        <f t="shared" si="8"/>
        <v>0</v>
      </c>
      <c r="N43" s="54">
        <f t="shared" si="8"/>
        <v>0</v>
      </c>
      <c r="O43" s="54">
        <f t="shared" si="8"/>
        <v>0</v>
      </c>
      <c r="P43" s="54">
        <f t="shared" si="8"/>
        <v>0</v>
      </c>
    </row>
    <row r="44" spans="1:16" ht="12" customHeight="1" x14ac:dyDescent="0.2">
      <c r="A44" s="135"/>
      <c r="B44" s="55"/>
      <c r="C44" s="56" t="s">
        <v>80</v>
      </c>
      <c r="D44" s="56"/>
      <c r="E44" s="56"/>
      <c r="F44" s="57"/>
      <c r="G44" s="58">
        <f>G33+G43</f>
        <v>141796.79999999999</v>
      </c>
      <c r="H44" s="58">
        <f t="shared" ref="H44:P44" si="9">H33+H43</f>
        <v>112077.60000125752</v>
      </c>
      <c r="I44" s="58">
        <f t="shared" si="9"/>
        <v>0</v>
      </c>
      <c r="J44" s="58">
        <f t="shared" si="9"/>
        <v>0</v>
      </c>
      <c r="K44" s="58">
        <f t="shared" si="9"/>
        <v>29719.199998742457</v>
      </c>
      <c r="L44" s="58">
        <f t="shared" si="9"/>
        <v>0</v>
      </c>
      <c r="M44" s="58">
        <f t="shared" si="9"/>
        <v>0</v>
      </c>
      <c r="N44" s="58">
        <f t="shared" si="9"/>
        <v>0</v>
      </c>
      <c r="O44" s="58">
        <f t="shared" si="9"/>
        <v>0</v>
      </c>
      <c r="P44" s="58">
        <f t="shared" si="9"/>
        <v>0</v>
      </c>
    </row>
    <row r="45" spans="1:16" ht="12" customHeight="1" x14ac:dyDescent="0.2">
      <c r="A45" s="137"/>
      <c r="B45" s="60"/>
      <c r="C45" s="209" t="s">
        <v>12</v>
      </c>
      <c r="D45" s="209"/>
      <c r="E45" s="209"/>
      <c r="F45" s="210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t="12" customHeight="1" x14ac:dyDescent="0.2">
      <c r="A46" s="129"/>
      <c r="B46" s="60"/>
      <c r="C46" s="52"/>
      <c r="D46" s="52" t="s">
        <v>3</v>
      </c>
      <c r="E46" s="52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t="12" customHeight="1" x14ac:dyDescent="0.2">
      <c r="A47" s="129"/>
      <c r="B47" s="60"/>
      <c r="C47" s="52"/>
      <c r="D47" s="52"/>
      <c r="E47" s="52" t="s">
        <v>10</v>
      </c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t="12" customHeight="1" x14ac:dyDescent="0.2">
      <c r="A48" s="129"/>
      <c r="B48" s="60"/>
      <c r="C48" s="52"/>
      <c r="D48" s="52"/>
      <c r="E48" s="52" t="s">
        <v>11</v>
      </c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t="12" customHeight="1" x14ac:dyDescent="0.2">
      <c r="A49" s="130" t="s">
        <v>149</v>
      </c>
      <c r="B49" s="60"/>
      <c r="C49" s="52"/>
      <c r="D49" s="52"/>
      <c r="E49" s="52" t="s">
        <v>37</v>
      </c>
      <c r="F49" s="53"/>
      <c r="G49" s="131">
        <f>SUMIF(Worksheet!$B$301:$B$319,$A49,Worksheet!I$301:I$319)</f>
        <v>0</v>
      </c>
      <c r="H49" s="132">
        <f>G49-SUM(I49:P49)</f>
        <v>0</v>
      </c>
      <c r="I49" s="131">
        <f>SUMIF(Worksheet!$B$301:$B$319,$A49,Worksheet!M$301:M$319)</f>
        <v>0</v>
      </c>
      <c r="J49" s="54"/>
      <c r="K49" s="131">
        <f>SUMIF(Worksheet!$B$301:$B$319,$A49,Worksheet!N$301:N$319)</f>
        <v>0</v>
      </c>
      <c r="L49" s="54"/>
      <c r="M49" s="131"/>
      <c r="N49" s="131">
        <f>SUMIF(Worksheet!$B$301:$B$319,$A49,Worksheet!O$301:O$319)</f>
        <v>0</v>
      </c>
      <c r="O49" s="131">
        <f>SUMIF(Worksheet!$B$301:$B$319,$A49,Worksheet!P$301:P$319)</f>
        <v>0</v>
      </c>
      <c r="P49" s="131">
        <f>SUMIF(Worksheet!$B$301:$B$319,$A49,Worksheet!Q$301:Q$319)</f>
        <v>0</v>
      </c>
    </row>
    <row r="50" spans="1:16" ht="12" customHeight="1" x14ac:dyDescent="0.2">
      <c r="A50" s="130" t="s">
        <v>150</v>
      </c>
      <c r="B50" s="60"/>
      <c r="C50" s="52"/>
      <c r="D50" s="52"/>
      <c r="E50" s="52" t="s">
        <v>4</v>
      </c>
      <c r="F50" s="53"/>
      <c r="G50" s="131">
        <f>SUMIF(Worksheet!$B$301:$B$319,$A50,Worksheet!I$301:I$319)</f>
        <v>0</v>
      </c>
      <c r="H50" s="132">
        <f>G50-SUM(I50:P50)</f>
        <v>0</v>
      </c>
      <c r="I50" s="131">
        <f>SUMIF(Worksheet!$B$301:$B$319,$A50,Worksheet!M$301:M$319)</f>
        <v>0</v>
      </c>
      <c r="J50" s="54"/>
      <c r="K50" s="131">
        <f>SUMIF(Worksheet!$B$301:$B$319,$A50,Worksheet!N$301:N$319)</f>
        <v>0</v>
      </c>
      <c r="L50" s="54"/>
      <c r="M50" s="131"/>
      <c r="N50" s="131">
        <f>SUMIF(Worksheet!$B$301:$B$319,$A50,Worksheet!O$301:O$319)</f>
        <v>0</v>
      </c>
      <c r="O50" s="131">
        <f>SUMIF(Worksheet!$B$301:$B$319,$A50,Worksheet!P$301:P$319)</f>
        <v>0</v>
      </c>
      <c r="P50" s="131">
        <f>SUMIF(Worksheet!$B$301:$B$319,$A50,Worksheet!Q$301:Q$319)</f>
        <v>0</v>
      </c>
    </row>
    <row r="51" spans="1:16" ht="12" customHeight="1" x14ac:dyDescent="0.2">
      <c r="A51" s="134"/>
      <c r="B51" s="60"/>
      <c r="C51" s="52"/>
      <c r="D51" s="52" t="s">
        <v>7</v>
      </c>
      <c r="E51" s="52"/>
      <c r="F51" s="53"/>
      <c r="G51" s="54">
        <f>SUM(G47:G50)</f>
        <v>0</v>
      </c>
      <c r="H51" s="54">
        <f t="shared" ref="H51:P51" si="10">SUM(H47:H50)</f>
        <v>0</v>
      </c>
      <c r="I51" s="54">
        <f t="shared" si="10"/>
        <v>0</v>
      </c>
      <c r="J51" s="54">
        <f t="shared" si="10"/>
        <v>0</v>
      </c>
      <c r="K51" s="54">
        <f t="shared" si="10"/>
        <v>0</v>
      </c>
      <c r="L51" s="54">
        <f t="shared" si="10"/>
        <v>0</v>
      </c>
      <c r="M51" s="54">
        <f t="shared" si="10"/>
        <v>0</v>
      </c>
      <c r="N51" s="54">
        <f t="shared" si="10"/>
        <v>0</v>
      </c>
      <c r="O51" s="54">
        <f t="shared" si="10"/>
        <v>0</v>
      </c>
      <c r="P51" s="54">
        <f t="shared" si="10"/>
        <v>0</v>
      </c>
    </row>
    <row r="52" spans="1:16" ht="12" customHeight="1" x14ac:dyDescent="0.2">
      <c r="A52" s="129"/>
      <c r="B52" s="60"/>
      <c r="C52" s="52"/>
      <c r="D52" s="52" t="s">
        <v>5</v>
      </c>
      <c r="E52" s="52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t="12" customHeight="1" x14ac:dyDescent="0.2">
      <c r="A53" s="129"/>
      <c r="B53" s="60"/>
      <c r="C53" s="52"/>
      <c r="D53" s="52"/>
      <c r="E53" s="52" t="s">
        <v>10</v>
      </c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t="12" customHeight="1" x14ac:dyDescent="0.2">
      <c r="A54" s="129"/>
      <c r="B54" s="60"/>
      <c r="C54" s="52"/>
      <c r="D54" s="52"/>
      <c r="E54" s="52" t="s">
        <v>11</v>
      </c>
      <c r="F54" s="53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t="12" customHeight="1" x14ac:dyDescent="0.2">
      <c r="A55" s="129" t="s">
        <v>151</v>
      </c>
      <c r="B55" s="60"/>
      <c r="C55" s="52"/>
      <c r="D55" s="52"/>
      <c r="E55" s="52" t="s">
        <v>37</v>
      </c>
      <c r="F55" s="53"/>
      <c r="G55" s="131">
        <f>SUMIF(Worksheet!$B$301:$B$319,$A55,Worksheet!I$301:I$319)</f>
        <v>0</v>
      </c>
      <c r="H55" s="132">
        <f>G55-SUM(I55:P55)</f>
        <v>0</v>
      </c>
      <c r="I55" s="131">
        <f>SUMIF(Worksheet!$B$301:$B$319,$A55,Worksheet!M$301:M$319)</f>
        <v>0</v>
      </c>
      <c r="J55" s="54"/>
      <c r="K55" s="131">
        <f>SUMIF(Worksheet!$B$301:$B$319,$A55,Worksheet!N$301:N$319)</f>
        <v>0</v>
      </c>
      <c r="L55" s="54"/>
      <c r="M55" s="131"/>
      <c r="N55" s="131">
        <f>SUMIF(Worksheet!$B$301:$B$319,$A55,Worksheet!O$301:O$319)</f>
        <v>0</v>
      </c>
      <c r="O55" s="131">
        <f>SUMIF(Worksheet!$B$301:$B$319,$A55,Worksheet!P$301:P$319)</f>
        <v>0</v>
      </c>
      <c r="P55" s="131">
        <f>SUMIF(Worksheet!$B$301:$B$319,$A55,Worksheet!Q$301:Q$319)</f>
        <v>0</v>
      </c>
    </row>
    <row r="56" spans="1:16" ht="12" customHeight="1" x14ac:dyDescent="0.2">
      <c r="A56" s="129" t="s">
        <v>152</v>
      </c>
      <c r="B56" s="60"/>
      <c r="C56" s="52"/>
      <c r="D56" s="52"/>
      <c r="E56" s="52" t="s">
        <v>4</v>
      </c>
      <c r="F56" s="53"/>
      <c r="G56" s="131">
        <f>SUMIF(Worksheet!$B$301:$B$319,$A56,Worksheet!I$301:I$319)</f>
        <v>11816.400000000023</v>
      </c>
      <c r="H56" s="132">
        <f>G56-SUM(I56:P56)</f>
        <v>9339.8000001048131</v>
      </c>
      <c r="I56" s="131">
        <f>SUMIF(Worksheet!$B$301:$B$319,$A56,Worksheet!M$301:M$319)</f>
        <v>0</v>
      </c>
      <c r="J56" s="54"/>
      <c r="K56" s="131">
        <f>SUMIF(Worksheet!$B$301:$B$319,$A56,Worksheet!N$301:N$319)</f>
        <v>2476.5999998952097</v>
      </c>
      <c r="L56" s="54"/>
      <c r="M56" s="131"/>
      <c r="N56" s="131">
        <f>SUMIF(Worksheet!$B$301:$B$319,$A56,Worksheet!O$301:O$319)</f>
        <v>0</v>
      </c>
      <c r="O56" s="131">
        <f>SUMIF(Worksheet!$B$301:$B$319,$A56,Worksheet!P$301:P$319)</f>
        <v>0</v>
      </c>
      <c r="P56" s="131">
        <f>SUMIF(Worksheet!$B$301:$B$319,$A56,Worksheet!Q$301:Q$319)</f>
        <v>0</v>
      </c>
    </row>
    <row r="57" spans="1:16" ht="12" customHeight="1" x14ac:dyDescent="0.2">
      <c r="A57" s="134"/>
      <c r="B57" s="60"/>
      <c r="C57" s="52"/>
      <c r="D57" s="52" t="s">
        <v>8</v>
      </c>
      <c r="E57" s="52"/>
      <c r="F57" s="53"/>
      <c r="G57" s="54">
        <f>SUM(G53:G56)</f>
        <v>11816.400000000023</v>
      </c>
      <c r="H57" s="54">
        <f t="shared" ref="H57:P57" si="11">SUM(H53:H56)</f>
        <v>9339.8000001048131</v>
      </c>
      <c r="I57" s="54">
        <f t="shared" si="11"/>
        <v>0</v>
      </c>
      <c r="J57" s="54">
        <f t="shared" si="11"/>
        <v>0</v>
      </c>
      <c r="K57" s="54">
        <f t="shared" si="11"/>
        <v>2476.5999998952097</v>
      </c>
      <c r="L57" s="54">
        <f t="shared" si="11"/>
        <v>0</v>
      </c>
      <c r="M57" s="54">
        <f t="shared" si="11"/>
        <v>0</v>
      </c>
      <c r="N57" s="54">
        <f t="shared" si="11"/>
        <v>0</v>
      </c>
      <c r="O57" s="54">
        <f t="shared" si="11"/>
        <v>0</v>
      </c>
      <c r="P57" s="54">
        <f t="shared" si="11"/>
        <v>0</v>
      </c>
    </row>
    <row r="58" spans="1:16" ht="12" customHeight="1" x14ac:dyDescent="0.2">
      <c r="A58" s="135"/>
      <c r="B58" s="55"/>
      <c r="C58" s="56" t="s">
        <v>13</v>
      </c>
      <c r="D58" s="56"/>
      <c r="E58" s="56"/>
      <c r="F58" s="57"/>
      <c r="G58" s="58">
        <f>G57+G51</f>
        <v>11816.400000000023</v>
      </c>
      <c r="H58" s="58">
        <f t="shared" ref="H58:P58" si="12">H57+H51</f>
        <v>9339.8000001048131</v>
      </c>
      <c r="I58" s="58">
        <f t="shared" si="12"/>
        <v>0</v>
      </c>
      <c r="J58" s="58">
        <f t="shared" si="12"/>
        <v>0</v>
      </c>
      <c r="K58" s="58">
        <f t="shared" si="12"/>
        <v>2476.5999998952097</v>
      </c>
      <c r="L58" s="58">
        <f t="shared" si="12"/>
        <v>0</v>
      </c>
      <c r="M58" s="58">
        <f t="shared" si="12"/>
        <v>0</v>
      </c>
      <c r="N58" s="58">
        <f t="shared" si="12"/>
        <v>0</v>
      </c>
      <c r="O58" s="58">
        <f t="shared" si="12"/>
        <v>0</v>
      </c>
      <c r="P58" s="58">
        <f t="shared" si="12"/>
        <v>0</v>
      </c>
    </row>
    <row r="59" spans="1:16" ht="27.75" customHeight="1" x14ac:dyDescent="0.25">
      <c r="A59" s="138"/>
      <c r="B59" s="117" t="str">
        <f>"Total "&amp;B3</f>
        <v>Total Work Plan 8</v>
      </c>
      <c r="C59" s="105"/>
      <c r="D59" s="105"/>
      <c r="E59" s="105"/>
      <c r="F59" s="106"/>
      <c r="G59" s="107">
        <f>G22+G44+G58</f>
        <v>236328</v>
      </c>
      <c r="H59" s="107">
        <f t="shared" ref="H59:P59" si="13">H22+H44+H58</f>
        <v>186796.00000209588</v>
      </c>
      <c r="I59" s="107">
        <f t="shared" si="13"/>
        <v>0</v>
      </c>
      <c r="J59" s="107">
        <f t="shared" si="13"/>
        <v>0</v>
      </c>
      <c r="K59" s="107">
        <f t="shared" si="13"/>
        <v>49531.999997904102</v>
      </c>
      <c r="L59" s="107">
        <f t="shared" si="13"/>
        <v>0</v>
      </c>
      <c r="M59" s="107">
        <f t="shared" si="13"/>
        <v>0</v>
      </c>
      <c r="N59" s="107">
        <f t="shared" si="13"/>
        <v>0</v>
      </c>
      <c r="O59" s="107">
        <f t="shared" si="13"/>
        <v>0</v>
      </c>
      <c r="P59" s="107">
        <f t="shared" si="13"/>
        <v>0</v>
      </c>
    </row>
    <row r="60" spans="1:16" x14ac:dyDescent="0.2">
      <c r="A60" s="94"/>
    </row>
    <row r="61" spans="1:16" x14ac:dyDescent="0.2">
      <c r="A61" s="94"/>
      <c r="B61" s="48" t="s">
        <v>153</v>
      </c>
      <c r="G61" s="94">
        <f>Worksheet!J297</f>
        <v>236328.00001999998</v>
      </c>
      <c r="H61" s="94">
        <f>Worksheet!L297</f>
        <v>186796</v>
      </c>
      <c r="I61" s="94">
        <f>Worksheet!M297</f>
        <v>0</v>
      </c>
      <c r="K61" s="94">
        <f>Worksheet!N297</f>
        <v>49532</v>
      </c>
      <c r="N61" s="94">
        <f>Worksheet!O297</f>
        <v>0</v>
      </c>
      <c r="O61" s="94">
        <f>Worksheet!P297</f>
        <v>0</v>
      </c>
      <c r="P61" s="94">
        <f>Worksheet!Q297</f>
        <v>0</v>
      </c>
    </row>
    <row r="62" spans="1:16" x14ac:dyDescent="0.2">
      <c r="A62" s="94"/>
      <c r="B62" s="48" t="s">
        <v>132</v>
      </c>
      <c r="F62" s="232">
        <f>SUM(G62:P62)</f>
        <v>-1.9999992218799889E-5</v>
      </c>
      <c r="G62" s="94">
        <f>G59-G61</f>
        <v>-1.9999977666884661E-5</v>
      </c>
      <c r="H62" s="94">
        <f t="shared" ref="H62:P62" si="14">H59-H61</f>
        <v>2.0958832465112209E-6</v>
      </c>
      <c r="I62" s="94">
        <f t="shared" si="14"/>
        <v>0</v>
      </c>
      <c r="J62" s="94">
        <f t="shared" si="14"/>
        <v>0</v>
      </c>
      <c r="K62" s="94">
        <f t="shared" si="14"/>
        <v>-2.0958977984264493E-6</v>
      </c>
      <c r="L62" s="94">
        <f t="shared" si="14"/>
        <v>0</v>
      </c>
      <c r="M62" s="94">
        <f t="shared" si="14"/>
        <v>0</v>
      </c>
      <c r="N62" s="94">
        <f t="shared" si="14"/>
        <v>0</v>
      </c>
      <c r="O62" s="94">
        <f t="shared" si="14"/>
        <v>0</v>
      </c>
      <c r="P62" s="94">
        <f t="shared" si="14"/>
        <v>0</v>
      </c>
    </row>
  </sheetData>
  <sheetProtection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25" right="0.25" top="0.75" bottom="0.25" header="0.5" footer="0"/>
  <pageSetup scale="61" orientation="portrait" r:id="rId1"/>
  <headerFooter alignWithMargins="0">
    <oddHeader>&amp;REnclosure 2</oddHeader>
    <oddFooter>&amp;LPage 8&amp;Rver 3 (12/2007)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>
    <pageSetUpPr fitToPage="1"/>
  </sheetPr>
  <dimension ref="A1:S62"/>
  <sheetViews>
    <sheetView topLeftCell="A45" zoomScale="70" zoomScaleNormal="70" workbookViewId="0">
      <selection activeCell="F62" activeCellId="3" sqref="A19:A20 A30:A31 A55:A56 F62"/>
    </sheetView>
  </sheetViews>
  <sheetFormatPr defaultColWidth="0" defaultRowHeight="15" zeroHeight="1" x14ac:dyDescent="0.2"/>
  <cols>
    <col min="1" max="1" width="5.28515625" style="48" customWidth="1"/>
    <col min="2" max="2" width="6.140625" style="48" customWidth="1"/>
    <col min="3" max="3" width="5.5703125" style="48" customWidth="1"/>
    <col min="4" max="4" width="3.7109375" style="48" customWidth="1"/>
    <col min="5" max="5" width="7.42578125" style="48" customWidth="1"/>
    <col min="6" max="6" width="42.28515625" style="48" customWidth="1"/>
    <col min="7" max="7" width="17.140625" style="48" customWidth="1"/>
    <col min="8" max="8" width="14.140625" style="48" customWidth="1"/>
    <col min="9" max="9" width="16.85546875" style="48" customWidth="1"/>
    <col min="10" max="10" width="17.5703125" style="48" customWidth="1"/>
    <col min="11" max="11" width="14.7109375" style="48" customWidth="1"/>
    <col min="12" max="12" width="12.7109375" style="48" customWidth="1"/>
    <col min="13" max="13" width="19.5703125" style="48" customWidth="1"/>
    <col min="14" max="14" width="17.85546875" style="48" customWidth="1"/>
    <col min="15" max="15" width="15.7109375" style="48" customWidth="1"/>
    <col min="16" max="16" width="12.7109375" style="48" customWidth="1"/>
    <col min="17" max="19" width="12.7109375" hidden="1" customWidth="1"/>
  </cols>
  <sheetData>
    <row r="1" spans="1:19" ht="56.25" customHeight="1" x14ac:dyDescent="0.25">
      <c r="A1" s="231">
        <f>F62</f>
        <v>-9.9996104836463928E-6</v>
      </c>
      <c r="B1" s="173" t="str">
        <f>'CSS Pgm 1'!B1:$P$1</f>
        <v>Annual Mental Health Services Act Revenue and Expenditure Report for Fiscal Year 2007-08
Community Services and Supports (CSS) Programs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9" ht="23.25" customHeight="1" x14ac:dyDescent="0.25">
      <c r="A2" s="74"/>
      <c r="B2" s="47" t="s">
        <v>28</v>
      </c>
      <c r="C2" s="47"/>
      <c r="D2" s="47"/>
      <c r="E2" s="226" t="str">
        <f>'CSS Pgm 1'!E2</f>
        <v>Santa Cruz</v>
      </c>
      <c r="F2" s="226"/>
      <c r="G2" s="74"/>
      <c r="H2" s="74"/>
      <c r="I2" s="74"/>
      <c r="J2" s="74"/>
      <c r="K2" s="74"/>
      <c r="L2" s="74"/>
      <c r="M2" s="74"/>
      <c r="N2" s="74"/>
      <c r="O2" s="49" t="s">
        <v>29</v>
      </c>
      <c r="P2" s="78" t="str">
        <f>Worksheet!$N$2</f>
        <v>10/7/09</v>
      </c>
    </row>
    <row r="3" spans="1:19" ht="37.5" customHeight="1" x14ac:dyDescent="0.25">
      <c r="A3" s="74"/>
      <c r="B3" s="47" t="s">
        <v>227</v>
      </c>
      <c r="C3" s="47"/>
      <c r="D3" s="47"/>
      <c r="E3" s="228" t="str">
        <f>Worksheet!D327</f>
        <v>Person Centered Program of Mental Health Services and Supports</v>
      </c>
      <c r="F3" s="229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ht="12" customHeight="1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s="3" customFormat="1" ht="22.5" customHeight="1" x14ac:dyDescent="0.25">
      <c r="A5" s="163"/>
      <c r="B5" s="174" t="s">
        <v>30</v>
      </c>
      <c r="C5" s="175"/>
      <c r="D5" s="175"/>
      <c r="E5" s="175"/>
      <c r="F5" s="176"/>
      <c r="G5" s="75" t="s">
        <v>19</v>
      </c>
      <c r="H5" s="101" t="s">
        <v>20</v>
      </c>
      <c r="I5" s="101" t="s">
        <v>27</v>
      </c>
      <c r="J5" s="101" t="s">
        <v>21</v>
      </c>
      <c r="K5" s="101" t="s">
        <v>22</v>
      </c>
      <c r="L5" s="101" t="s">
        <v>23</v>
      </c>
      <c r="M5" s="101" t="s">
        <v>24</v>
      </c>
      <c r="N5" s="101" t="s">
        <v>25</v>
      </c>
      <c r="O5" s="101" t="s">
        <v>26</v>
      </c>
      <c r="P5" s="101" t="s">
        <v>63</v>
      </c>
    </row>
    <row r="6" spans="1:19" s="3" customFormat="1" ht="27.75" customHeight="1" x14ac:dyDescent="0.25">
      <c r="A6" s="163"/>
      <c r="B6" s="177"/>
      <c r="C6" s="178"/>
      <c r="D6" s="178"/>
      <c r="E6" s="178"/>
      <c r="F6" s="179"/>
      <c r="G6" s="171" t="s">
        <v>6</v>
      </c>
      <c r="H6" s="201" t="s">
        <v>36</v>
      </c>
      <c r="I6" s="202"/>
      <c r="J6" s="202"/>
      <c r="K6" s="202"/>
      <c r="L6" s="202"/>
      <c r="M6" s="202"/>
      <c r="N6" s="202"/>
      <c r="O6" s="202"/>
      <c r="P6" s="203"/>
    </row>
    <row r="7" spans="1:19" s="1" customFormat="1" ht="42" customHeight="1" x14ac:dyDescent="0.2">
      <c r="A7" s="164"/>
      <c r="B7" s="180"/>
      <c r="C7" s="181"/>
      <c r="D7" s="181"/>
      <c r="E7" s="181"/>
      <c r="F7" s="182"/>
      <c r="G7" s="172"/>
      <c r="H7" s="119" t="s">
        <v>0</v>
      </c>
      <c r="I7" s="119" t="s">
        <v>35</v>
      </c>
      <c r="J7" s="119" t="s">
        <v>18</v>
      </c>
      <c r="K7" s="119" t="s">
        <v>1</v>
      </c>
      <c r="L7" s="119" t="s">
        <v>15</v>
      </c>
      <c r="M7" s="119" t="s">
        <v>16</v>
      </c>
      <c r="N7" s="119" t="s">
        <v>2</v>
      </c>
      <c r="O7" s="119" t="s">
        <v>17</v>
      </c>
      <c r="P7" s="97" t="s">
        <v>62</v>
      </c>
      <c r="Q7" s="2"/>
      <c r="R7" s="2"/>
      <c r="S7" s="2"/>
    </row>
    <row r="8" spans="1:19" ht="24" customHeight="1" x14ac:dyDescent="0.25">
      <c r="A8" s="125"/>
      <c r="B8" s="86" t="str">
        <f>B3</f>
        <v>Work Plan 9</v>
      </c>
      <c r="C8" s="87"/>
      <c r="D8" s="87"/>
      <c r="E8" s="87"/>
      <c r="F8" s="88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9" ht="12" customHeight="1" x14ac:dyDescent="0.2">
      <c r="A9" s="127"/>
      <c r="B9" s="60"/>
      <c r="C9" s="211" t="s">
        <v>85</v>
      </c>
      <c r="D9" s="211"/>
      <c r="E9" s="211"/>
      <c r="F9" s="212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9" ht="12" customHeight="1" x14ac:dyDescent="0.2">
      <c r="A10" s="129"/>
      <c r="B10" s="60"/>
      <c r="C10" s="52"/>
      <c r="D10" s="52" t="s">
        <v>3</v>
      </c>
      <c r="E10" s="52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9" ht="12" customHeight="1" x14ac:dyDescent="0.2">
      <c r="A11" s="129"/>
      <c r="B11" s="60"/>
      <c r="C11" s="52"/>
      <c r="D11" s="52"/>
      <c r="E11" s="52" t="s">
        <v>10</v>
      </c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9" ht="12" customHeight="1" x14ac:dyDescent="0.2">
      <c r="A12" s="129"/>
      <c r="B12" s="60"/>
      <c r="C12" s="52"/>
      <c r="D12" s="52"/>
      <c r="E12" s="52" t="s">
        <v>11</v>
      </c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9" ht="12" customHeight="1" x14ac:dyDescent="0.2">
      <c r="A13" s="130" t="s">
        <v>138</v>
      </c>
      <c r="B13" s="60"/>
      <c r="C13" s="52"/>
      <c r="D13" s="52"/>
      <c r="E13" s="52" t="s">
        <v>37</v>
      </c>
      <c r="F13" s="53"/>
      <c r="G13" s="131">
        <f>SUMIF(Worksheet!$B$337:$B$355,$A13,Worksheet!I$337:I$355)</f>
        <v>1341008.4175833545</v>
      </c>
      <c r="H13" s="132">
        <f>G13-SUM(I13:P13)</f>
        <v>911942.16110559669</v>
      </c>
      <c r="I13" s="131">
        <f>SUMIF(Worksheet!$B$337:$B$355,$A13,Worksheet!M$337:M$355)</f>
        <v>0</v>
      </c>
      <c r="J13" s="54"/>
      <c r="K13" s="131">
        <f>SUMIF(Worksheet!$B$337:$B$355,$A13,Worksheet!N$337:N$355)</f>
        <v>429066.25647775782</v>
      </c>
      <c r="L13" s="54"/>
      <c r="M13" s="131"/>
      <c r="N13" s="131">
        <f>SUMIF(Worksheet!$B$337:$B$355,$A13,Worksheet!O$337:O$355)</f>
        <v>0</v>
      </c>
      <c r="O13" s="131">
        <f>SUMIF(Worksheet!$B$337:$B$355,$A13,Worksheet!P$337:P$355)</f>
        <v>0</v>
      </c>
      <c r="P13" s="131">
        <f>SUMIF(Worksheet!$B$337:$B$355,$A13,Worksheet!Q$337:Q$355)</f>
        <v>0</v>
      </c>
    </row>
    <row r="14" spans="1:19" ht="12" customHeight="1" x14ac:dyDescent="0.2">
      <c r="A14" s="130" t="s">
        <v>142</v>
      </c>
      <c r="B14" s="60"/>
      <c r="C14" s="52"/>
      <c r="D14" s="52"/>
      <c r="E14" s="52" t="s">
        <v>4</v>
      </c>
      <c r="F14" s="53"/>
      <c r="G14" s="131">
        <f>SUMIF(Worksheet!$B$337:$B$355,$A14,Worksheet!I$337:I$355)</f>
        <v>310768.27359747299</v>
      </c>
      <c r="H14" s="132">
        <f>G14-SUM(I14:P14)</f>
        <v>211335.50491670874</v>
      </c>
      <c r="I14" s="131">
        <f>SUMIF(Worksheet!$B$337:$B$355,$A14,Worksheet!M$337:M$355)</f>
        <v>0</v>
      </c>
      <c r="J14" s="54"/>
      <c r="K14" s="131">
        <f>SUMIF(Worksheet!$B$337:$B$355,$A14,Worksheet!N$337:N$355)</f>
        <v>99432.768680764231</v>
      </c>
      <c r="L14" s="54"/>
      <c r="M14" s="131"/>
      <c r="N14" s="131">
        <f>SUMIF(Worksheet!$B$337:$B$355,$A14,Worksheet!O$337:O$355)</f>
        <v>0</v>
      </c>
      <c r="O14" s="131">
        <f>SUMIF(Worksheet!$B$337:$B$355,$A14,Worksheet!P$337:P$355)</f>
        <v>0</v>
      </c>
      <c r="P14" s="131">
        <f>SUMIF(Worksheet!$B$337:$B$355,$A14,Worksheet!Q$337:Q$355)</f>
        <v>0</v>
      </c>
    </row>
    <row r="15" spans="1:19" ht="12" customHeight="1" x14ac:dyDescent="0.2">
      <c r="A15" s="134"/>
      <c r="B15" s="60"/>
      <c r="C15" s="52"/>
      <c r="D15" s="52" t="s">
        <v>7</v>
      </c>
      <c r="E15" s="52"/>
      <c r="F15" s="53"/>
      <c r="G15" s="54">
        <f>SUM(G11:G14)</f>
        <v>1651776.6911808276</v>
      </c>
      <c r="H15" s="54">
        <f t="shared" ref="H15:P15" si="0">SUM(H11:H14)</f>
        <v>1123277.6660223054</v>
      </c>
      <c r="I15" s="54">
        <f t="shared" si="0"/>
        <v>0</v>
      </c>
      <c r="J15" s="54">
        <f t="shared" si="0"/>
        <v>0</v>
      </c>
      <c r="K15" s="54">
        <f t="shared" si="0"/>
        <v>528499.02515852207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54">
        <f t="shared" si="0"/>
        <v>0</v>
      </c>
    </row>
    <row r="16" spans="1:19" ht="12" customHeight="1" x14ac:dyDescent="0.2">
      <c r="A16" s="129"/>
      <c r="B16" s="60"/>
      <c r="C16" s="52"/>
      <c r="D16" s="52" t="s">
        <v>5</v>
      </c>
      <c r="E16" s="52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12" customHeight="1" x14ac:dyDescent="0.2">
      <c r="A17" s="129"/>
      <c r="B17" s="60"/>
      <c r="C17" s="52"/>
      <c r="D17" s="52"/>
      <c r="E17" s="52" t="s">
        <v>10</v>
      </c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t="12" customHeight="1" x14ac:dyDescent="0.2">
      <c r="A18" s="129"/>
      <c r="B18" s="60"/>
      <c r="C18" s="52"/>
      <c r="D18" s="52"/>
      <c r="E18" s="52" t="s">
        <v>11</v>
      </c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t="12" customHeight="1" x14ac:dyDescent="0.2">
      <c r="A19" s="129" t="s">
        <v>143</v>
      </c>
      <c r="B19" s="60"/>
      <c r="C19" s="52"/>
      <c r="D19" s="52"/>
      <c r="E19" s="52" t="s">
        <v>37</v>
      </c>
      <c r="F19" s="53"/>
      <c r="G19" s="131">
        <f>SUMIF(Worksheet!$B$337:$B$355,$A19,Worksheet!I$337:I$355)</f>
        <v>0</v>
      </c>
      <c r="H19" s="132">
        <f>G19-SUM(I19:P19)</f>
        <v>0</v>
      </c>
      <c r="I19" s="131">
        <f>SUMIF(Worksheet!$B$337:$B$355,$A19,Worksheet!M$337:M$355)</f>
        <v>0</v>
      </c>
      <c r="J19" s="54"/>
      <c r="K19" s="131">
        <f>SUMIF(Worksheet!$B$337:$B$355,$A19,Worksheet!N$337:N$355)</f>
        <v>0</v>
      </c>
      <c r="L19" s="54"/>
      <c r="M19" s="131"/>
      <c r="N19" s="131">
        <f>SUMIF(Worksheet!$B$337:$B$355,$A19,Worksheet!O$337:O$355)</f>
        <v>0</v>
      </c>
      <c r="O19" s="131">
        <f>SUMIF(Worksheet!$B$337:$B$355,$A19,Worksheet!P$337:P$355)</f>
        <v>0</v>
      </c>
      <c r="P19" s="131">
        <f>SUMIF(Worksheet!$B$337:$B$355,$A19,Worksheet!Q$337:Q$355)</f>
        <v>0</v>
      </c>
    </row>
    <row r="20" spans="1:16" ht="12" customHeight="1" x14ac:dyDescent="0.2">
      <c r="A20" s="129" t="s">
        <v>144</v>
      </c>
      <c r="B20" s="60"/>
      <c r="C20" s="52"/>
      <c r="D20" s="52"/>
      <c r="E20" s="52" t="s">
        <v>4</v>
      </c>
      <c r="F20" s="53"/>
      <c r="G20" s="131">
        <f>SUMIF(Worksheet!$B$337:$B$355,$A20,Worksheet!I$337:I$355)</f>
        <v>601109.24235726416</v>
      </c>
      <c r="H20" s="132">
        <f>G20-SUM(I20:P20)</f>
        <v>541460.82823107135</v>
      </c>
      <c r="I20" s="131">
        <f>SUMIF(Worksheet!$B$337:$B$355,$A20,Worksheet!M$337:M$355)</f>
        <v>0</v>
      </c>
      <c r="J20" s="54"/>
      <c r="K20" s="131">
        <f>SUMIF(Worksheet!$B$337:$B$355,$A20,Worksheet!N$337:N$355)</f>
        <v>59648.414126192787</v>
      </c>
      <c r="L20" s="54"/>
      <c r="M20" s="131"/>
      <c r="N20" s="131">
        <f>SUMIF(Worksheet!$B$337:$B$355,$A20,Worksheet!O$337:O$355)</f>
        <v>0</v>
      </c>
      <c r="O20" s="131">
        <f>SUMIF(Worksheet!$B$337:$B$355,$A20,Worksheet!P$337:P$355)</f>
        <v>0</v>
      </c>
      <c r="P20" s="131">
        <f>SUMIF(Worksheet!$B$337:$B$355,$A20,Worksheet!Q$337:Q$355)</f>
        <v>0</v>
      </c>
    </row>
    <row r="21" spans="1:16" ht="12" customHeight="1" x14ac:dyDescent="0.2">
      <c r="A21" s="134"/>
      <c r="B21" s="60"/>
      <c r="C21" s="52"/>
      <c r="D21" s="52" t="s">
        <v>8</v>
      </c>
      <c r="E21" s="52"/>
      <c r="F21" s="53"/>
      <c r="G21" s="54">
        <f>SUM(G17:G20)</f>
        <v>601109.24235726416</v>
      </c>
      <c r="H21" s="54">
        <f t="shared" ref="H21:P21" si="1">SUM(H17:H20)</f>
        <v>541460.82823107135</v>
      </c>
      <c r="I21" s="54">
        <f t="shared" si="1"/>
        <v>0</v>
      </c>
      <c r="J21" s="54">
        <f t="shared" si="1"/>
        <v>0</v>
      </c>
      <c r="K21" s="54">
        <f t="shared" si="1"/>
        <v>59648.414126192787</v>
      </c>
      <c r="L21" s="54">
        <f t="shared" si="1"/>
        <v>0</v>
      </c>
      <c r="M21" s="54">
        <f t="shared" si="1"/>
        <v>0</v>
      </c>
      <c r="N21" s="54">
        <f t="shared" si="1"/>
        <v>0</v>
      </c>
      <c r="O21" s="54">
        <f t="shared" si="1"/>
        <v>0</v>
      </c>
      <c r="P21" s="54">
        <f t="shared" si="1"/>
        <v>0</v>
      </c>
    </row>
    <row r="22" spans="1:16" ht="12" customHeight="1" x14ac:dyDescent="0.2">
      <c r="A22" s="135"/>
      <c r="B22" s="55"/>
      <c r="C22" s="56" t="s">
        <v>9</v>
      </c>
      <c r="D22" s="56"/>
      <c r="E22" s="56"/>
      <c r="F22" s="57"/>
      <c r="G22" s="58">
        <f>G15+G21</f>
        <v>2252885.9335380918</v>
      </c>
      <c r="H22" s="58">
        <f t="shared" ref="H22:P22" si="2">H15+H21</f>
        <v>1664738.4942533767</v>
      </c>
      <c r="I22" s="58">
        <f t="shared" si="2"/>
        <v>0</v>
      </c>
      <c r="J22" s="58">
        <f t="shared" si="2"/>
        <v>0</v>
      </c>
      <c r="K22" s="58">
        <f t="shared" si="2"/>
        <v>588147.43928471487</v>
      </c>
      <c r="L22" s="58">
        <f t="shared" si="2"/>
        <v>0</v>
      </c>
      <c r="M22" s="58">
        <f t="shared" si="2"/>
        <v>0</v>
      </c>
      <c r="N22" s="58">
        <f t="shared" si="2"/>
        <v>0</v>
      </c>
      <c r="O22" s="58">
        <f t="shared" si="2"/>
        <v>0</v>
      </c>
      <c r="P22" s="58">
        <f t="shared" si="2"/>
        <v>0</v>
      </c>
    </row>
    <row r="23" spans="1:16" ht="12" customHeight="1" x14ac:dyDescent="0.2">
      <c r="A23" s="127"/>
      <c r="B23" s="60"/>
      <c r="C23" s="213" t="s">
        <v>79</v>
      </c>
      <c r="D23" s="213"/>
      <c r="E23" s="213"/>
      <c r="F23" s="21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t="12" customHeight="1" x14ac:dyDescent="0.2">
      <c r="A24" s="129"/>
      <c r="B24" s="60"/>
      <c r="C24" s="52"/>
      <c r="D24" s="52" t="s">
        <v>31</v>
      </c>
      <c r="E24" s="52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t="12" customHeight="1" x14ac:dyDescent="0.2">
      <c r="A25" s="129"/>
      <c r="B25" s="60"/>
      <c r="C25" s="52"/>
      <c r="D25" s="52"/>
      <c r="E25" s="52" t="s">
        <v>3</v>
      </c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t="12" customHeight="1" x14ac:dyDescent="0.2">
      <c r="A26" s="130" t="s">
        <v>145</v>
      </c>
      <c r="B26" s="60"/>
      <c r="C26" s="52"/>
      <c r="D26" s="52"/>
      <c r="E26" s="52"/>
      <c r="F26" s="53" t="s">
        <v>37</v>
      </c>
      <c r="G26" s="131">
        <f>SUMIF(Worksheet!$B$337:$B$355,$A26,Worksheet!I$337:I$355)</f>
        <v>119200.14834996195</v>
      </c>
      <c r="H26" s="132">
        <f>G26-SUM(I26:P26)</f>
        <v>81061.117488186996</v>
      </c>
      <c r="I26" s="131">
        <f>SUMIF(Worksheet!$B$337:$B$355,$A26,Worksheet!M$337:M$355)</f>
        <v>0</v>
      </c>
      <c r="J26" s="54"/>
      <c r="K26" s="131">
        <f>SUMIF(Worksheet!$B$337:$B$355,$A26,Worksheet!N$337:N$355)</f>
        <v>38139.030861774954</v>
      </c>
      <c r="L26" s="54"/>
      <c r="M26" s="131"/>
      <c r="N26" s="131">
        <f>SUMIF(Worksheet!$B$337:$B$355,$A26,Worksheet!O$337:O$355)</f>
        <v>0</v>
      </c>
      <c r="O26" s="131">
        <f>SUMIF(Worksheet!$B$337:$B$355,$A26,Worksheet!P$337:P$355)</f>
        <v>0</v>
      </c>
      <c r="P26" s="131">
        <f>SUMIF(Worksheet!$B$337:$B$355,$A26,Worksheet!Q$337:Q$355)</f>
        <v>0</v>
      </c>
    </row>
    <row r="27" spans="1:16" ht="12" customHeight="1" x14ac:dyDescent="0.2">
      <c r="A27" s="130" t="s">
        <v>146</v>
      </c>
      <c r="B27" s="60"/>
      <c r="C27" s="52"/>
      <c r="D27" s="52"/>
      <c r="E27" s="52"/>
      <c r="F27" s="53" t="s">
        <v>4</v>
      </c>
      <c r="G27" s="131">
        <f>SUMIF(Worksheet!$B$337:$B$355,$A27,Worksheet!I$337:I$355)</f>
        <v>27623.707524548619</v>
      </c>
      <c r="H27" s="132">
        <f>G27-SUM(I27:P27)</f>
        <v>18785.28367710262</v>
      </c>
      <c r="I27" s="131">
        <f>SUMIF(Worksheet!$B$337:$B$355,$A27,Worksheet!M$337:M$355)</f>
        <v>0</v>
      </c>
      <c r="J27" s="54"/>
      <c r="K27" s="131">
        <f>SUMIF(Worksheet!$B$337:$B$355,$A27,Worksheet!N$337:N$355)</f>
        <v>8838.4238474460017</v>
      </c>
      <c r="L27" s="54"/>
      <c r="M27" s="131"/>
      <c r="N27" s="131">
        <f>SUMIF(Worksheet!$B$337:$B$355,$A27,Worksheet!O$337:O$355)</f>
        <v>0</v>
      </c>
      <c r="O27" s="131">
        <f>SUMIF(Worksheet!$B$337:$B$355,$A27,Worksheet!P$337:P$355)</f>
        <v>0</v>
      </c>
      <c r="P27" s="131">
        <f>SUMIF(Worksheet!$B$337:$B$355,$A27,Worksheet!Q$337:Q$355)</f>
        <v>0</v>
      </c>
    </row>
    <row r="28" spans="1:16" ht="12" customHeight="1" x14ac:dyDescent="0.2">
      <c r="A28" s="134"/>
      <c r="B28" s="60"/>
      <c r="C28" s="52"/>
      <c r="D28" s="52"/>
      <c r="E28" s="52" t="s">
        <v>7</v>
      </c>
      <c r="F28" s="53"/>
      <c r="G28" s="54">
        <f>SUM(G26:G27)</f>
        <v>146823.85587451057</v>
      </c>
      <c r="H28" s="54">
        <f t="shared" ref="H28:P28" si="3">SUM(H26:H27)</f>
        <v>99846.401165289615</v>
      </c>
      <c r="I28" s="54">
        <f t="shared" si="3"/>
        <v>0</v>
      </c>
      <c r="J28" s="54">
        <f t="shared" si="3"/>
        <v>0</v>
      </c>
      <c r="K28" s="54">
        <f t="shared" si="3"/>
        <v>46977.454709220954</v>
      </c>
      <c r="L28" s="54">
        <f t="shared" si="3"/>
        <v>0</v>
      </c>
      <c r="M28" s="54">
        <f t="shared" si="3"/>
        <v>0</v>
      </c>
      <c r="N28" s="54">
        <f t="shared" si="3"/>
        <v>0</v>
      </c>
      <c r="O28" s="54">
        <f t="shared" si="3"/>
        <v>0</v>
      </c>
      <c r="P28" s="54">
        <f t="shared" si="3"/>
        <v>0</v>
      </c>
    </row>
    <row r="29" spans="1:16" ht="12" customHeight="1" x14ac:dyDescent="0.2">
      <c r="A29" s="129"/>
      <c r="B29" s="60"/>
      <c r="C29" s="52"/>
      <c r="D29" s="52"/>
      <c r="E29" s="52" t="s">
        <v>5</v>
      </c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t="12" customHeight="1" x14ac:dyDescent="0.2">
      <c r="A30" s="129" t="s">
        <v>147</v>
      </c>
      <c r="B30" s="60"/>
      <c r="C30" s="52"/>
      <c r="D30" s="52"/>
      <c r="E30" s="52"/>
      <c r="F30" s="53" t="s">
        <v>37</v>
      </c>
      <c r="G30" s="131">
        <f>SUMIF(Worksheet!$B$337:$B$355,$A30,Worksheet!I$337:I$355)</f>
        <v>0</v>
      </c>
      <c r="H30" s="132">
        <f>G30-SUM(I30:P30)</f>
        <v>0</v>
      </c>
      <c r="I30" s="131">
        <f>SUMIF(Worksheet!$B$337:$B$355,$A30,Worksheet!M$337:M$355)</f>
        <v>0</v>
      </c>
      <c r="J30" s="54"/>
      <c r="K30" s="131">
        <f>SUMIF(Worksheet!$B$337:$B$355,$A30,Worksheet!N$337:N$355)</f>
        <v>0</v>
      </c>
      <c r="L30" s="54"/>
      <c r="M30" s="131"/>
      <c r="N30" s="131">
        <f>SUMIF(Worksheet!$B$337:$B$355,$A30,Worksheet!O$337:O$355)</f>
        <v>0</v>
      </c>
      <c r="O30" s="131">
        <f>SUMIF(Worksheet!$B$337:$B$355,$A30,Worksheet!P$337:P$355)</f>
        <v>0</v>
      </c>
      <c r="P30" s="131">
        <f>SUMIF(Worksheet!$B$337:$B$355,$A30,Worksheet!Q$337:Q$355)</f>
        <v>0</v>
      </c>
    </row>
    <row r="31" spans="1:16" ht="12" customHeight="1" x14ac:dyDescent="0.2">
      <c r="A31" s="129" t="s">
        <v>148</v>
      </c>
      <c r="B31" s="60"/>
      <c r="C31" s="52"/>
      <c r="D31" s="52"/>
      <c r="E31" s="52"/>
      <c r="F31" s="53" t="s">
        <v>4</v>
      </c>
      <c r="G31" s="131">
        <f>SUMIF(Worksheet!$B$337:$B$355,$A31,Worksheet!I$337:I$355)</f>
        <v>53431.663756924449</v>
      </c>
      <c r="H31" s="132">
        <f>G31-SUM(I31:P31)</f>
        <v>48129.60918407148</v>
      </c>
      <c r="I31" s="131">
        <f>SUMIF(Worksheet!$B$337:$B$355,$A31,Worksheet!M$337:M$355)</f>
        <v>0</v>
      </c>
      <c r="J31" s="54"/>
      <c r="K31" s="131">
        <f>SUMIF(Worksheet!$B$337:$B$355,$A31,Worksheet!N$337:N$355)</f>
        <v>5302.0545728529687</v>
      </c>
      <c r="L31" s="54"/>
      <c r="M31" s="131"/>
      <c r="N31" s="131">
        <f>SUMIF(Worksheet!$B$337:$B$355,$A31,Worksheet!O$337:O$355)</f>
        <v>0</v>
      </c>
      <c r="O31" s="131">
        <f>SUMIF(Worksheet!$B$337:$B$355,$A31,Worksheet!P$337:P$355)</f>
        <v>0</v>
      </c>
      <c r="P31" s="131">
        <f>SUMIF(Worksheet!$B$337:$B$355,$A31,Worksheet!Q$337:Q$355)</f>
        <v>0</v>
      </c>
    </row>
    <row r="32" spans="1:16" ht="12" customHeight="1" x14ac:dyDescent="0.2">
      <c r="A32" s="134"/>
      <c r="B32" s="60"/>
      <c r="C32" s="52"/>
      <c r="D32" s="52"/>
      <c r="E32" s="52" t="s">
        <v>8</v>
      </c>
      <c r="F32" s="53"/>
      <c r="G32" s="54">
        <f>SUM(G30:G31)</f>
        <v>53431.663756924449</v>
      </c>
      <c r="H32" s="54">
        <f t="shared" ref="H32:P32" si="4">SUM(H30:H31)</f>
        <v>48129.60918407148</v>
      </c>
      <c r="I32" s="54">
        <f t="shared" si="4"/>
        <v>0</v>
      </c>
      <c r="J32" s="54">
        <f t="shared" si="4"/>
        <v>0</v>
      </c>
      <c r="K32" s="54">
        <f t="shared" si="4"/>
        <v>5302.0545728529687</v>
      </c>
      <c r="L32" s="54">
        <f t="shared" si="4"/>
        <v>0</v>
      </c>
      <c r="M32" s="54">
        <f t="shared" si="4"/>
        <v>0</v>
      </c>
      <c r="N32" s="54">
        <f t="shared" si="4"/>
        <v>0</v>
      </c>
      <c r="O32" s="54">
        <f t="shared" si="4"/>
        <v>0</v>
      </c>
      <c r="P32" s="54">
        <f t="shared" si="4"/>
        <v>0</v>
      </c>
    </row>
    <row r="33" spans="1:16" ht="12" customHeight="1" x14ac:dyDescent="0.2">
      <c r="A33" s="134"/>
      <c r="B33" s="60"/>
      <c r="C33" s="52"/>
      <c r="D33" s="52" t="s">
        <v>32</v>
      </c>
      <c r="E33" s="52"/>
      <c r="F33" s="53"/>
      <c r="G33" s="54">
        <f>G28+G32</f>
        <v>200255.51963143502</v>
      </c>
      <c r="H33" s="54">
        <f t="shared" ref="H33:P33" si="5">H28+H32</f>
        <v>147976.01034936111</v>
      </c>
      <c r="I33" s="54">
        <f t="shared" si="5"/>
        <v>0</v>
      </c>
      <c r="J33" s="54">
        <f t="shared" si="5"/>
        <v>0</v>
      </c>
      <c r="K33" s="54">
        <f t="shared" si="5"/>
        <v>52279.509282073923</v>
      </c>
      <c r="L33" s="54">
        <f t="shared" si="5"/>
        <v>0</v>
      </c>
      <c r="M33" s="54">
        <f t="shared" si="5"/>
        <v>0</v>
      </c>
      <c r="N33" s="54">
        <f t="shared" si="5"/>
        <v>0</v>
      </c>
      <c r="O33" s="54">
        <f t="shared" si="5"/>
        <v>0</v>
      </c>
      <c r="P33" s="54">
        <f t="shared" si="5"/>
        <v>0</v>
      </c>
    </row>
    <row r="34" spans="1:16" ht="12" customHeight="1" x14ac:dyDescent="0.2">
      <c r="A34" s="129"/>
      <c r="B34" s="60"/>
      <c r="C34" s="52"/>
      <c r="D34" s="52" t="s">
        <v>33</v>
      </c>
      <c r="E34" s="52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t="12" customHeight="1" x14ac:dyDescent="0.2">
      <c r="A35" s="129"/>
      <c r="B35" s="60"/>
      <c r="C35" s="52"/>
      <c r="D35" s="52"/>
      <c r="E35" s="52" t="s">
        <v>3</v>
      </c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t="12" customHeight="1" x14ac:dyDescent="0.2">
      <c r="A36" s="129"/>
      <c r="B36" s="60"/>
      <c r="C36" s="52"/>
      <c r="D36" s="52"/>
      <c r="E36" s="52"/>
      <c r="F36" s="53" t="s">
        <v>37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t="12" customHeight="1" x14ac:dyDescent="0.2">
      <c r="A37" s="129"/>
      <c r="B37" s="60"/>
      <c r="C37" s="52"/>
      <c r="D37" s="52"/>
      <c r="E37" s="52"/>
      <c r="F37" s="53" t="s">
        <v>4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t="12" customHeight="1" x14ac:dyDescent="0.2">
      <c r="A38" s="134"/>
      <c r="B38" s="60"/>
      <c r="C38" s="52"/>
      <c r="D38" s="52"/>
      <c r="E38" s="52" t="s">
        <v>7</v>
      </c>
      <c r="F38" s="53"/>
      <c r="G38" s="54">
        <f>SUM(G36:G37)</f>
        <v>0</v>
      </c>
      <c r="H38" s="54">
        <f t="shared" ref="H38:P38" si="6">SUM(H36:H37)</f>
        <v>0</v>
      </c>
      <c r="I38" s="54">
        <f t="shared" si="6"/>
        <v>0</v>
      </c>
      <c r="J38" s="54">
        <f t="shared" si="6"/>
        <v>0</v>
      </c>
      <c r="K38" s="54">
        <f t="shared" si="6"/>
        <v>0</v>
      </c>
      <c r="L38" s="54">
        <f t="shared" si="6"/>
        <v>0</v>
      </c>
      <c r="M38" s="54">
        <f t="shared" si="6"/>
        <v>0</v>
      </c>
      <c r="N38" s="54">
        <f t="shared" si="6"/>
        <v>0</v>
      </c>
      <c r="O38" s="54">
        <f t="shared" si="6"/>
        <v>0</v>
      </c>
      <c r="P38" s="54">
        <f t="shared" si="6"/>
        <v>0</v>
      </c>
    </row>
    <row r="39" spans="1:16" ht="12" customHeight="1" x14ac:dyDescent="0.2">
      <c r="A39" s="129"/>
      <c r="B39" s="60"/>
      <c r="C39" s="52"/>
      <c r="D39" s="52"/>
      <c r="E39" s="52" t="s">
        <v>5</v>
      </c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t="12" customHeight="1" x14ac:dyDescent="0.2">
      <c r="A40" s="129"/>
      <c r="B40" s="60"/>
      <c r="C40" s="52"/>
      <c r="D40" s="52"/>
      <c r="E40" s="52"/>
      <c r="F40" s="53" t="s">
        <v>37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t="12" customHeight="1" x14ac:dyDescent="0.2">
      <c r="A41" s="129"/>
      <c r="B41" s="60"/>
      <c r="C41" s="52"/>
      <c r="D41" s="52"/>
      <c r="E41" s="52"/>
      <c r="F41" s="53" t="s">
        <v>4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t="12" customHeight="1" x14ac:dyDescent="0.2">
      <c r="A42" s="134"/>
      <c r="B42" s="60"/>
      <c r="C42" s="52"/>
      <c r="D42" s="52"/>
      <c r="E42" s="52" t="s">
        <v>8</v>
      </c>
      <c r="F42" s="53"/>
      <c r="G42" s="54">
        <f>SUM(G40:G41)</f>
        <v>0</v>
      </c>
      <c r="H42" s="54">
        <f t="shared" ref="H42:P42" si="7">SUM(H40:H41)</f>
        <v>0</v>
      </c>
      <c r="I42" s="54">
        <f t="shared" si="7"/>
        <v>0</v>
      </c>
      <c r="J42" s="54">
        <f t="shared" si="7"/>
        <v>0</v>
      </c>
      <c r="K42" s="54">
        <f t="shared" si="7"/>
        <v>0</v>
      </c>
      <c r="L42" s="54">
        <f t="shared" si="7"/>
        <v>0</v>
      </c>
      <c r="M42" s="54">
        <f t="shared" si="7"/>
        <v>0</v>
      </c>
      <c r="N42" s="54">
        <f t="shared" si="7"/>
        <v>0</v>
      </c>
      <c r="O42" s="54">
        <f t="shared" si="7"/>
        <v>0</v>
      </c>
      <c r="P42" s="54">
        <f t="shared" si="7"/>
        <v>0</v>
      </c>
    </row>
    <row r="43" spans="1:16" ht="12" customHeight="1" x14ac:dyDescent="0.2">
      <c r="A43" s="134"/>
      <c r="B43" s="60"/>
      <c r="C43" s="52"/>
      <c r="D43" s="52" t="s">
        <v>34</v>
      </c>
      <c r="E43" s="52"/>
      <c r="F43" s="53"/>
      <c r="G43" s="54">
        <f>G38+G42</f>
        <v>0</v>
      </c>
      <c r="H43" s="54">
        <f t="shared" ref="H43:P43" si="8">H38+H42</f>
        <v>0</v>
      </c>
      <c r="I43" s="54">
        <f t="shared" si="8"/>
        <v>0</v>
      </c>
      <c r="J43" s="54">
        <f t="shared" si="8"/>
        <v>0</v>
      </c>
      <c r="K43" s="54">
        <f t="shared" si="8"/>
        <v>0</v>
      </c>
      <c r="L43" s="54">
        <f t="shared" si="8"/>
        <v>0</v>
      </c>
      <c r="M43" s="54">
        <f t="shared" si="8"/>
        <v>0</v>
      </c>
      <c r="N43" s="54">
        <f t="shared" si="8"/>
        <v>0</v>
      </c>
      <c r="O43" s="54">
        <f t="shared" si="8"/>
        <v>0</v>
      </c>
      <c r="P43" s="54">
        <f t="shared" si="8"/>
        <v>0</v>
      </c>
    </row>
    <row r="44" spans="1:16" ht="12" customHeight="1" x14ac:dyDescent="0.2">
      <c r="A44" s="135"/>
      <c r="B44" s="55"/>
      <c r="C44" s="56" t="s">
        <v>80</v>
      </c>
      <c r="D44" s="56"/>
      <c r="E44" s="56"/>
      <c r="F44" s="57"/>
      <c r="G44" s="58">
        <f>G33+G43</f>
        <v>200255.51963143502</v>
      </c>
      <c r="H44" s="58">
        <f t="shared" ref="H44:P44" si="9">H33+H43</f>
        <v>147976.01034936111</v>
      </c>
      <c r="I44" s="58">
        <f t="shared" si="9"/>
        <v>0</v>
      </c>
      <c r="J44" s="58">
        <f t="shared" si="9"/>
        <v>0</v>
      </c>
      <c r="K44" s="58">
        <f t="shared" si="9"/>
        <v>52279.509282073923</v>
      </c>
      <c r="L44" s="58">
        <f t="shared" si="9"/>
        <v>0</v>
      </c>
      <c r="M44" s="58">
        <f t="shared" si="9"/>
        <v>0</v>
      </c>
      <c r="N44" s="58">
        <f t="shared" si="9"/>
        <v>0</v>
      </c>
      <c r="O44" s="58">
        <f t="shared" si="9"/>
        <v>0</v>
      </c>
      <c r="P44" s="58">
        <f t="shared" si="9"/>
        <v>0</v>
      </c>
    </row>
    <row r="45" spans="1:16" ht="12" customHeight="1" x14ac:dyDescent="0.2">
      <c r="A45" s="137"/>
      <c r="B45" s="60"/>
      <c r="C45" s="209" t="s">
        <v>12</v>
      </c>
      <c r="D45" s="209"/>
      <c r="E45" s="209"/>
      <c r="F45" s="210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t="12" customHeight="1" x14ac:dyDescent="0.2">
      <c r="A46" s="129"/>
      <c r="B46" s="60"/>
      <c r="C46" s="52"/>
      <c r="D46" s="52" t="s">
        <v>3</v>
      </c>
      <c r="E46" s="52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t="12" customHeight="1" x14ac:dyDescent="0.2">
      <c r="A47" s="129"/>
      <c r="B47" s="60"/>
      <c r="C47" s="52"/>
      <c r="D47" s="52"/>
      <c r="E47" s="52" t="s">
        <v>10</v>
      </c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t="12" customHeight="1" x14ac:dyDescent="0.2">
      <c r="A48" s="129"/>
      <c r="B48" s="60"/>
      <c r="C48" s="52"/>
      <c r="D48" s="52"/>
      <c r="E48" s="52" t="s">
        <v>11</v>
      </c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t="12" customHeight="1" x14ac:dyDescent="0.2">
      <c r="A49" s="130" t="s">
        <v>149</v>
      </c>
      <c r="B49" s="60"/>
      <c r="C49" s="52"/>
      <c r="D49" s="52"/>
      <c r="E49" s="52" t="s">
        <v>37</v>
      </c>
      <c r="F49" s="53"/>
      <c r="G49" s="131">
        <f>SUMIF(Worksheet!$B$337:$B$355,$A49,Worksheet!I$337:I$355)</f>
        <v>29800.434066683534</v>
      </c>
      <c r="H49" s="132">
        <f>G49-SUM(I49:P49)</f>
        <v>20265.54933460513</v>
      </c>
      <c r="I49" s="131">
        <f>SUMIF(Worksheet!$B$337:$B$355,$A49,Worksheet!M$337:M$355)</f>
        <v>0</v>
      </c>
      <c r="J49" s="54"/>
      <c r="K49" s="131">
        <f>SUMIF(Worksheet!$B$337:$B$355,$A49,Worksheet!N$337:N$355)</f>
        <v>9534.8847320784062</v>
      </c>
      <c r="L49" s="54"/>
      <c r="M49" s="131"/>
      <c r="N49" s="131">
        <f>SUMIF(Worksheet!$B$337:$B$355,$A49,Worksheet!O$337:O$355)</f>
        <v>0</v>
      </c>
      <c r="O49" s="131">
        <f>SUMIF(Worksheet!$B$337:$B$355,$A49,Worksheet!P$337:P$355)</f>
        <v>0</v>
      </c>
      <c r="P49" s="131">
        <f>SUMIF(Worksheet!$B$337:$B$355,$A49,Worksheet!Q$337:Q$355)</f>
        <v>0</v>
      </c>
    </row>
    <row r="50" spans="1:16" ht="12" customHeight="1" x14ac:dyDescent="0.2">
      <c r="A50" s="130" t="s">
        <v>150</v>
      </c>
      <c r="B50" s="60"/>
      <c r="C50" s="52"/>
      <c r="D50" s="52"/>
      <c r="E50" s="52" t="s">
        <v>4</v>
      </c>
      <c r="F50" s="53"/>
      <c r="G50" s="131">
        <f>SUMIF(Worksheet!$B$337:$B$355,$A50,Worksheet!I$337:I$355)</f>
        <v>6906.018877978393</v>
      </c>
      <c r="H50" s="132">
        <f>G50-SUM(I50:P50)</f>
        <v>4696.3834809994387</v>
      </c>
      <c r="I50" s="131">
        <f>SUMIF(Worksheet!$B$337:$B$355,$A50,Worksheet!M$337:M$355)</f>
        <v>0</v>
      </c>
      <c r="J50" s="54"/>
      <c r="K50" s="131">
        <f>SUMIF(Worksheet!$B$337:$B$355,$A50,Worksheet!N$337:N$355)</f>
        <v>2209.6353969789543</v>
      </c>
      <c r="L50" s="54"/>
      <c r="M50" s="131"/>
      <c r="N50" s="131">
        <f>SUMIF(Worksheet!$B$337:$B$355,$A50,Worksheet!O$337:O$355)</f>
        <v>0</v>
      </c>
      <c r="O50" s="131">
        <f>SUMIF(Worksheet!$B$337:$B$355,$A50,Worksheet!P$337:P$355)</f>
        <v>0</v>
      </c>
      <c r="P50" s="131">
        <f>SUMIF(Worksheet!$B$337:$B$355,$A50,Worksheet!Q$337:Q$355)</f>
        <v>0</v>
      </c>
    </row>
    <row r="51" spans="1:16" ht="12" customHeight="1" x14ac:dyDescent="0.2">
      <c r="A51" s="134"/>
      <c r="B51" s="60"/>
      <c r="C51" s="52"/>
      <c r="D51" s="52" t="s">
        <v>7</v>
      </c>
      <c r="E51" s="52"/>
      <c r="F51" s="53"/>
      <c r="G51" s="54">
        <f>SUM(G47:G50)</f>
        <v>36706.452944661927</v>
      </c>
      <c r="H51" s="54">
        <f t="shared" ref="H51:P51" si="10">SUM(H47:H50)</f>
        <v>24961.932815604567</v>
      </c>
      <c r="I51" s="54">
        <f t="shared" si="10"/>
        <v>0</v>
      </c>
      <c r="J51" s="54">
        <f t="shared" si="10"/>
        <v>0</v>
      </c>
      <c r="K51" s="54">
        <f t="shared" si="10"/>
        <v>11744.52012905736</v>
      </c>
      <c r="L51" s="54">
        <f t="shared" si="10"/>
        <v>0</v>
      </c>
      <c r="M51" s="54">
        <f t="shared" si="10"/>
        <v>0</v>
      </c>
      <c r="N51" s="54">
        <f t="shared" si="10"/>
        <v>0</v>
      </c>
      <c r="O51" s="54">
        <f t="shared" si="10"/>
        <v>0</v>
      </c>
      <c r="P51" s="54">
        <f t="shared" si="10"/>
        <v>0</v>
      </c>
    </row>
    <row r="52" spans="1:16" ht="12" customHeight="1" x14ac:dyDescent="0.2">
      <c r="A52" s="129"/>
      <c r="B52" s="60"/>
      <c r="C52" s="52"/>
      <c r="D52" s="52" t="s">
        <v>5</v>
      </c>
      <c r="E52" s="52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t="12" customHeight="1" x14ac:dyDescent="0.2">
      <c r="A53" s="129"/>
      <c r="B53" s="60"/>
      <c r="C53" s="52"/>
      <c r="D53" s="52"/>
      <c r="E53" s="52" t="s">
        <v>10</v>
      </c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t="12" customHeight="1" x14ac:dyDescent="0.2">
      <c r="A54" s="129"/>
      <c r="B54" s="60"/>
      <c r="C54" s="52"/>
      <c r="D54" s="52"/>
      <c r="E54" s="52" t="s">
        <v>11</v>
      </c>
      <c r="F54" s="53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t="12" customHeight="1" x14ac:dyDescent="0.2">
      <c r="A55" s="129" t="s">
        <v>151</v>
      </c>
      <c r="B55" s="60"/>
      <c r="C55" s="52"/>
      <c r="D55" s="52"/>
      <c r="E55" s="52" t="s">
        <v>37</v>
      </c>
      <c r="F55" s="53"/>
      <c r="G55" s="131">
        <f>SUMIF(Worksheet!$B$337:$B$355,$A55,Worksheet!I$337:I$355)</f>
        <v>0</v>
      </c>
      <c r="H55" s="132">
        <f>G55-SUM(I55:P55)</f>
        <v>0</v>
      </c>
      <c r="I55" s="131">
        <f>SUMIF(Worksheet!$B$337:$B$355,$A55,Worksheet!M$337:M$355)</f>
        <v>0</v>
      </c>
      <c r="J55" s="54"/>
      <c r="K55" s="131">
        <f>SUMIF(Worksheet!$B$337:$B$355,$A55,Worksheet!N$337:N$355)</f>
        <v>0</v>
      </c>
      <c r="L55" s="54"/>
      <c r="M55" s="131"/>
      <c r="N55" s="131">
        <f>SUMIF(Worksheet!$B$337:$B$355,$A55,Worksheet!O$337:O$355)</f>
        <v>0</v>
      </c>
      <c r="O55" s="131">
        <f>SUMIF(Worksheet!$B$337:$B$355,$A55,Worksheet!P$337:P$355)</f>
        <v>0</v>
      </c>
      <c r="P55" s="131">
        <f>SUMIF(Worksheet!$B$337:$B$355,$A55,Worksheet!Q$337:Q$355)</f>
        <v>0</v>
      </c>
    </row>
    <row r="56" spans="1:16" ht="12" customHeight="1" x14ac:dyDescent="0.2">
      <c r="A56" s="129" t="s">
        <v>152</v>
      </c>
      <c r="B56" s="60"/>
      <c r="C56" s="52"/>
      <c r="D56" s="52"/>
      <c r="E56" s="52" t="s">
        <v>4</v>
      </c>
      <c r="F56" s="53"/>
      <c r="G56" s="131">
        <f>SUMIF(Worksheet!$B$337:$B$355,$A56,Worksheet!I$337:I$355)</f>
        <v>13358.093885811395</v>
      </c>
      <c r="H56" s="132">
        <f>G56-SUM(I56:P56)</f>
        <v>12032.562584857154</v>
      </c>
      <c r="I56" s="131">
        <f>SUMIF(Worksheet!$B$337:$B$355,$A56,Worksheet!M$337:M$355)</f>
        <v>0</v>
      </c>
      <c r="J56" s="54"/>
      <c r="K56" s="131">
        <f>SUMIF(Worksheet!$B$337:$B$355,$A56,Worksheet!N$337:N$355)</f>
        <v>1325.5313009542401</v>
      </c>
      <c r="L56" s="54"/>
      <c r="M56" s="131"/>
      <c r="N56" s="131">
        <f>SUMIF(Worksheet!$B$337:$B$355,$A56,Worksheet!O$337:O$355)</f>
        <v>0</v>
      </c>
      <c r="O56" s="131">
        <f>SUMIF(Worksheet!$B$337:$B$355,$A56,Worksheet!P$337:P$355)</f>
        <v>0</v>
      </c>
      <c r="P56" s="131">
        <f>SUMIF(Worksheet!$B$337:$B$355,$A56,Worksheet!Q$337:Q$355)</f>
        <v>0</v>
      </c>
    </row>
    <row r="57" spans="1:16" ht="12" customHeight="1" x14ac:dyDescent="0.2">
      <c r="A57" s="134"/>
      <c r="B57" s="60"/>
      <c r="C57" s="52"/>
      <c r="D57" s="52" t="s">
        <v>8</v>
      </c>
      <c r="E57" s="52"/>
      <c r="F57" s="53"/>
      <c r="G57" s="54">
        <f>SUM(G53:G56)</f>
        <v>13358.093885811395</v>
      </c>
      <c r="H57" s="54">
        <f t="shared" ref="H57:P57" si="11">SUM(H53:H56)</f>
        <v>12032.562584857154</v>
      </c>
      <c r="I57" s="54">
        <f t="shared" si="11"/>
        <v>0</v>
      </c>
      <c r="J57" s="54">
        <f t="shared" si="11"/>
        <v>0</v>
      </c>
      <c r="K57" s="54">
        <f t="shared" si="11"/>
        <v>1325.5313009542401</v>
      </c>
      <c r="L57" s="54">
        <f t="shared" si="11"/>
        <v>0</v>
      </c>
      <c r="M57" s="54">
        <f t="shared" si="11"/>
        <v>0</v>
      </c>
      <c r="N57" s="54">
        <f t="shared" si="11"/>
        <v>0</v>
      </c>
      <c r="O57" s="54">
        <f t="shared" si="11"/>
        <v>0</v>
      </c>
      <c r="P57" s="54">
        <f t="shared" si="11"/>
        <v>0</v>
      </c>
    </row>
    <row r="58" spans="1:16" ht="12" customHeight="1" x14ac:dyDescent="0.2">
      <c r="A58" s="135"/>
      <c r="B58" s="55"/>
      <c r="C58" s="56" t="s">
        <v>13</v>
      </c>
      <c r="D58" s="56"/>
      <c r="E58" s="56"/>
      <c r="F58" s="57"/>
      <c r="G58" s="58">
        <f>G57+G51</f>
        <v>50064.546830473322</v>
      </c>
      <c r="H58" s="58">
        <f t="shared" ref="H58:P58" si="12">H57+H51</f>
        <v>36994.495400461718</v>
      </c>
      <c r="I58" s="58">
        <f t="shared" si="12"/>
        <v>0</v>
      </c>
      <c r="J58" s="58">
        <f t="shared" si="12"/>
        <v>0</v>
      </c>
      <c r="K58" s="58">
        <f t="shared" si="12"/>
        <v>13070.051430011601</v>
      </c>
      <c r="L58" s="58">
        <f t="shared" si="12"/>
        <v>0</v>
      </c>
      <c r="M58" s="58">
        <f t="shared" si="12"/>
        <v>0</v>
      </c>
      <c r="N58" s="58">
        <f t="shared" si="12"/>
        <v>0</v>
      </c>
      <c r="O58" s="58">
        <f t="shared" si="12"/>
        <v>0</v>
      </c>
      <c r="P58" s="58">
        <f t="shared" si="12"/>
        <v>0</v>
      </c>
    </row>
    <row r="59" spans="1:16" ht="21.75" customHeight="1" x14ac:dyDescent="0.25">
      <c r="A59" s="138"/>
      <c r="B59" s="117" t="str">
        <f>"Total "&amp;B3</f>
        <v>Total Work Plan 9</v>
      </c>
      <c r="C59" s="105"/>
      <c r="D59" s="105"/>
      <c r="E59" s="105"/>
      <c r="F59" s="106"/>
      <c r="G59" s="107">
        <f>G22+G44+G58</f>
        <v>2503206.0000000005</v>
      </c>
      <c r="H59" s="107">
        <f t="shared" ref="H59:P59" si="13">H22+H44+H58</f>
        <v>1849709.0000031996</v>
      </c>
      <c r="I59" s="107">
        <f t="shared" si="13"/>
        <v>0</v>
      </c>
      <c r="J59" s="107">
        <f t="shared" si="13"/>
        <v>0</v>
      </c>
      <c r="K59" s="107">
        <f t="shared" si="13"/>
        <v>653496.99999680044</v>
      </c>
      <c r="L59" s="107">
        <f t="shared" si="13"/>
        <v>0</v>
      </c>
      <c r="M59" s="107">
        <f t="shared" si="13"/>
        <v>0</v>
      </c>
      <c r="N59" s="107">
        <f t="shared" si="13"/>
        <v>0</v>
      </c>
      <c r="O59" s="107">
        <f t="shared" si="13"/>
        <v>0</v>
      </c>
      <c r="P59" s="107">
        <f t="shared" si="13"/>
        <v>0</v>
      </c>
    </row>
    <row r="60" spans="1:16" x14ac:dyDescent="0.2">
      <c r="A60" s="94"/>
    </row>
    <row r="61" spans="1:16" x14ac:dyDescent="0.2">
      <c r="A61" s="94"/>
      <c r="B61" s="48" t="s">
        <v>153</v>
      </c>
      <c r="G61" s="94">
        <f>Worksheet!J333</f>
        <v>2503206.0000100001</v>
      </c>
      <c r="H61" s="94">
        <f>Worksheet!L333</f>
        <v>1849709</v>
      </c>
      <c r="I61" s="94">
        <f>Worksheet!M333</f>
        <v>0</v>
      </c>
      <c r="K61" s="94">
        <f>Worksheet!N333</f>
        <v>653497</v>
      </c>
      <c r="N61" s="94">
        <f>Worksheet!O333</f>
        <v>0</v>
      </c>
      <c r="O61" s="94">
        <f>Worksheet!P333</f>
        <v>0</v>
      </c>
      <c r="P61" s="94">
        <f>Worksheet!Q333</f>
        <v>0</v>
      </c>
    </row>
    <row r="62" spans="1:16" x14ac:dyDescent="0.2">
      <c r="A62" s="94"/>
      <c r="B62" s="48" t="s">
        <v>132</v>
      </c>
      <c r="F62" s="232">
        <f>SUM(G62:P62)</f>
        <v>-9.9996104836463928E-6</v>
      </c>
      <c r="G62" s="94">
        <f>G59-G61</f>
        <v>-9.9996104836463928E-6</v>
      </c>
      <c r="H62" s="94">
        <f t="shared" ref="H62:P62" si="14">H59-H61</f>
        <v>3.1995587050914764E-6</v>
      </c>
      <c r="I62" s="94">
        <f t="shared" si="14"/>
        <v>0</v>
      </c>
      <c r="J62" s="94">
        <f t="shared" si="14"/>
        <v>0</v>
      </c>
      <c r="K62" s="94">
        <f t="shared" si="14"/>
        <v>-3.1995587050914764E-6</v>
      </c>
      <c r="L62" s="94">
        <f t="shared" si="14"/>
        <v>0</v>
      </c>
      <c r="M62" s="94">
        <f t="shared" si="14"/>
        <v>0</v>
      </c>
      <c r="N62" s="94">
        <f t="shared" si="14"/>
        <v>0</v>
      </c>
      <c r="O62" s="94">
        <f t="shared" si="14"/>
        <v>0</v>
      </c>
      <c r="P62" s="94">
        <f t="shared" si="14"/>
        <v>0</v>
      </c>
    </row>
  </sheetData>
  <sheetProtection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25" right="0.25" top="0.75" bottom="0.25" header="0.5" footer="0"/>
  <pageSetup scale="61" orientation="portrait" r:id="rId1"/>
  <headerFooter alignWithMargins="0">
    <oddHeader>&amp;REnclosure 2</oddHeader>
    <oddFooter>&amp;LPage 9&amp;Rver 3 (12/2007)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>
    <pageSetUpPr fitToPage="1"/>
  </sheetPr>
  <dimension ref="A1:S92"/>
  <sheetViews>
    <sheetView tabSelected="1" topLeftCell="A76" zoomScale="80" zoomScaleNormal="80" workbookViewId="0">
      <selection activeCell="J88" activeCellId="7" sqref="A19:A20 A30:A31 A55:A56 F61 I76:L76 J77:L77 J82:L83 J88:L89"/>
    </sheetView>
  </sheetViews>
  <sheetFormatPr defaultColWidth="0" defaultRowHeight="15" zeroHeight="1" x14ac:dyDescent="0.2"/>
  <cols>
    <col min="1" max="1" width="4.7109375" style="48" customWidth="1"/>
    <col min="2" max="2" width="7.85546875" style="48" customWidth="1"/>
    <col min="3" max="3" width="5" style="48" customWidth="1"/>
    <col min="4" max="4" width="6.85546875" style="48" customWidth="1"/>
    <col min="5" max="5" width="3.7109375" style="48" customWidth="1"/>
    <col min="6" max="6" width="22.7109375" style="48" customWidth="1"/>
    <col min="7" max="7" width="17.85546875" style="48" customWidth="1"/>
    <col min="8" max="8" width="14" style="48" customWidth="1"/>
    <col min="9" max="9" width="17.42578125" style="48" customWidth="1"/>
    <col min="10" max="10" width="17" style="48" customWidth="1"/>
    <col min="11" max="11" width="14.5703125" style="48" customWidth="1"/>
    <col min="12" max="12" width="14.7109375" style="48" customWidth="1"/>
    <col min="13" max="13" width="18.7109375" style="48" customWidth="1"/>
    <col min="14" max="14" width="17.42578125" style="48" customWidth="1"/>
    <col min="15" max="15" width="16.140625" style="48" customWidth="1"/>
    <col min="16" max="16" width="12.7109375" style="48" customWidth="1"/>
    <col min="17" max="19" width="12.7109375" hidden="1" customWidth="1"/>
  </cols>
  <sheetData>
    <row r="1" spans="1:19" ht="51.75" customHeight="1" x14ac:dyDescent="0.25">
      <c r="A1" s="231">
        <f>F61</f>
        <v>0</v>
      </c>
      <c r="B1" s="173" t="str">
        <f>'CSS Pgm 1'!B1:$P$1</f>
        <v>Annual Mental Health Services Act Revenue and Expenditure Report for Fiscal Year 2007-08
Community Services and Supports (CSS) Programs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9" ht="20.100000000000001" customHeight="1" x14ac:dyDescent="0.25">
      <c r="A2" s="74"/>
      <c r="B2" s="47" t="s">
        <v>28</v>
      </c>
      <c r="C2" s="47"/>
      <c r="D2" s="102"/>
      <c r="E2" s="226" t="str">
        <f>'CSS Pgm 1'!E2</f>
        <v>Santa Cruz</v>
      </c>
      <c r="F2" s="226"/>
      <c r="G2" s="74"/>
      <c r="H2" s="74"/>
      <c r="I2" s="74"/>
      <c r="J2" s="74"/>
      <c r="K2" s="74"/>
      <c r="L2" s="74"/>
      <c r="M2" s="74"/>
      <c r="N2" s="74"/>
      <c r="O2" s="49" t="s">
        <v>29</v>
      </c>
      <c r="P2" s="78"/>
    </row>
    <row r="3" spans="1:19" ht="20.100000000000001" customHeight="1" x14ac:dyDescent="0.25">
      <c r="A3" s="74"/>
      <c r="B3" s="47" t="s">
        <v>87</v>
      </c>
      <c r="C3" s="47"/>
      <c r="D3" s="47"/>
      <c r="E3" s="224">
        <f>C63</f>
        <v>0</v>
      </c>
      <c r="F3" s="225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s="3" customFormat="1" ht="18.75" customHeight="1" x14ac:dyDescent="0.25">
      <c r="A5" s="163"/>
      <c r="B5" s="174" t="s">
        <v>30</v>
      </c>
      <c r="C5" s="175"/>
      <c r="D5" s="175"/>
      <c r="E5" s="175"/>
      <c r="F5" s="176"/>
      <c r="G5" s="75" t="s">
        <v>19</v>
      </c>
      <c r="H5" s="101" t="s">
        <v>20</v>
      </c>
      <c r="I5" s="101" t="s">
        <v>27</v>
      </c>
      <c r="J5" s="101" t="s">
        <v>21</v>
      </c>
      <c r="K5" s="101" t="s">
        <v>22</v>
      </c>
      <c r="L5" s="101" t="s">
        <v>23</v>
      </c>
      <c r="M5" s="101" t="s">
        <v>24</v>
      </c>
      <c r="N5" s="101" t="s">
        <v>25</v>
      </c>
      <c r="O5" s="101" t="s">
        <v>26</v>
      </c>
      <c r="P5" s="101" t="s">
        <v>63</v>
      </c>
    </row>
    <row r="6" spans="1:19" s="3" customFormat="1" ht="22.5" customHeight="1" x14ac:dyDescent="0.25">
      <c r="A6" s="163"/>
      <c r="B6" s="177"/>
      <c r="C6" s="178"/>
      <c r="D6" s="178"/>
      <c r="E6" s="178"/>
      <c r="F6" s="179"/>
      <c r="G6" s="171" t="s">
        <v>6</v>
      </c>
      <c r="H6" s="201" t="s">
        <v>36</v>
      </c>
      <c r="I6" s="202"/>
      <c r="J6" s="202"/>
      <c r="K6" s="202"/>
      <c r="L6" s="202"/>
      <c r="M6" s="202"/>
      <c r="N6" s="202"/>
      <c r="O6" s="202"/>
      <c r="P6" s="203"/>
    </row>
    <row r="7" spans="1:19" s="1" customFormat="1" ht="42" customHeight="1" x14ac:dyDescent="0.2">
      <c r="A7" s="164"/>
      <c r="B7" s="180"/>
      <c r="C7" s="181"/>
      <c r="D7" s="181"/>
      <c r="E7" s="181"/>
      <c r="F7" s="182"/>
      <c r="G7" s="172"/>
      <c r="H7" s="119" t="s">
        <v>0</v>
      </c>
      <c r="I7" s="119" t="s">
        <v>35</v>
      </c>
      <c r="J7" s="119" t="s">
        <v>18</v>
      </c>
      <c r="K7" s="119" t="s">
        <v>1</v>
      </c>
      <c r="L7" s="119" t="s">
        <v>15</v>
      </c>
      <c r="M7" s="119" t="s">
        <v>16</v>
      </c>
      <c r="N7" s="119" t="s">
        <v>2</v>
      </c>
      <c r="O7" s="119" t="s">
        <v>17</v>
      </c>
      <c r="P7" s="97" t="s">
        <v>62</v>
      </c>
      <c r="Q7" s="2"/>
      <c r="R7" s="2"/>
      <c r="S7" s="2"/>
    </row>
    <row r="8" spans="1:19" ht="19.5" customHeight="1" x14ac:dyDescent="0.25">
      <c r="A8" s="125"/>
      <c r="B8" s="86" t="str">
        <f>B3</f>
        <v>Program 10:</v>
      </c>
      <c r="C8" s="87"/>
      <c r="D8" s="87"/>
      <c r="E8" s="87"/>
      <c r="F8" s="88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9" ht="15" customHeight="1" x14ac:dyDescent="0.2">
      <c r="A9" s="127"/>
      <c r="B9" s="60"/>
      <c r="C9" s="211" t="s">
        <v>85</v>
      </c>
      <c r="D9" s="211"/>
      <c r="E9" s="211"/>
      <c r="F9" s="212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9" ht="15" customHeight="1" x14ac:dyDescent="0.2">
      <c r="A10" s="129"/>
      <c r="B10" s="60"/>
      <c r="C10" s="52"/>
      <c r="D10" s="52" t="s">
        <v>3</v>
      </c>
      <c r="E10" s="52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9" ht="15" customHeight="1" x14ac:dyDescent="0.2">
      <c r="A11" s="129"/>
      <c r="B11" s="60"/>
      <c r="C11" s="52"/>
      <c r="D11" s="52"/>
      <c r="E11" s="52" t="s">
        <v>10</v>
      </c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9" ht="15" customHeight="1" x14ac:dyDescent="0.2">
      <c r="A12" s="129"/>
      <c r="B12" s="60"/>
      <c r="C12" s="52"/>
      <c r="D12" s="52"/>
      <c r="E12" s="52" t="s">
        <v>11</v>
      </c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9" ht="15" customHeight="1" x14ac:dyDescent="0.2">
      <c r="A13" s="130" t="s">
        <v>138</v>
      </c>
      <c r="B13" s="60"/>
      <c r="C13" s="52"/>
      <c r="D13" s="52"/>
      <c r="E13" s="52" t="s">
        <v>37</v>
      </c>
      <c r="F13" s="53"/>
      <c r="G13" s="131">
        <f>SUMIF($A$73:$A$91,$A13,H$73:H$91)</f>
        <v>0</v>
      </c>
      <c r="H13" s="132">
        <f>G13-SUM(I13:P13)</f>
        <v>0</v>
      </c>
      <c r="I13" s="131">
        <f>SUMIF($A$73:$A$91,$A13,J$73:J$91)</f>
        <v>0</v>
      </c>
      <c r="J13" s="54"/>
      <c r="K13" s="131">
        <f>SUMIF($A$73:$A$91,$A13,K$73:K$91)</f>
        <v>0</v>
      </c>
      <c r="L13" s="54"/>
      <c r="M13" s="131">
        <f>SUMIF($A$73:$A$91,$A13,L$73:L$91)</f>
        <v>0</v>
      </c>
      <c r="N13" s="54"/>
      <c r="O13" s="54"/>
      <c r="P13" s="54"/>
    </row>
    <row r="14" spans="1:19" ht="15" customHeight="1" x14ac:dyDescent="0.2">
      <c r="A14" s="130" t="s">
        <v>142</v>
      </c>
      <c r="B14" s="60"/>
      <c r="C14" s="52"/>
      <c r="D14" s="52"/>
      <c r="E14" s="52" t="s">
        <v>4</v>
      </c>
      <c r="F14" s="53"/>
      <c r="G14" s="131">
        <f>SUMIF($A$73:$A$91,$A14,H$73:H$91)</f>
        <v>0</v>
      </c>
      <c r="H14" s="132">
        <f>G14-SUM(I14:P14)</f>
        <v>0</v>
      </c>
      <c r="I14" s="131">
        <f>SUMIF($A$73:$A$91,$A14,J$73:J$91)</f>
        <v>0</v>
      </c>
      <c r="J14" s="54"/>
      <c r="K14" s="131">
        <f>SUMIF($A$73:$A$91,$A14,K$73:K$91)</f>
        <v>0</v>
      </c>
      <c r="L14" s="54"/>
      <c r="M14" s="131">
        <f>SUMIF($A$73:$A$91,$A14,L$73:L$91)</f>
        <v>0</v>
      </c>
      <c r="N14" s="54"/>
      <c r="O14" s="54"/>
      <c r="P14" s="54"/>
    </row>
    <row r="15" spans="1:19" ht="15" customHeight="1" x14ac:dyDescent="0.2">
      <c r="A15" s="134"/>
      <c r="B15" s="60"/>
      <c r="C15" s="52"/>
      <c r="D15" s="52" t="s">
        <v>7</v>
      </c>
      <c r="E15" s="52"/>
      <c r="F15" s="53"/>
      <c r="G15" s="54">
        <f>SUM(G11:G14)</f>
        <v>0</v>
      </c>
      <c r="H15" s="54">
        <f t="shared" ref="H15:P15" si="0">SUM(H11:H14)</f>
        <v>0</v>
      </c>
      <c r="I15" s="54">
        <f t="shared" si="0"/>
        <v>0</v>
      </c>
      <c r="J15" s="54">
        <f t="shared" si="0"/>
        <v>0</v>
      </c>
      <c r="K15" s="54">
        <f t="shared" si="0"/>
        <v>0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54">
        <f t="shared" si="0"/>
        <v>0</v>
      </c>
    </row>
    <row r="16" spans="1:19" ht="15" customHeight="1" x14ac:dyDescent="0.2">
      <c r="A16" s="129"/>
      <c r="B16" s="60"/>
      <c r="C16" s="52"/>
      <c r="D16" s="52" t="s">
        <v>5</v>
      </c>
      <c r="E16" s="52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15" customHeight="1" x14ac:dyDescent="0.2">
      <c r="A17" s="129"/>
      <c r="B17" s="60"/>
      <c r="C17" s="52"/>
      <c r="D17" s="52"/>
      <c r="E17" s="52" t="s">
        <v>10</v>
      </c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t="15" customHeight="1" x14ac:dyDescent="0.2">
      <c r="A18" s="129"/>
      <c r="B18" s="60"/>
      <c r="C18" s="52"/>
      <c r="D18" s="52"/>
      <c r="E18" s="52" t="s">
        <v>11</v>
      </c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t="15" customHeight="1" x14ac:dyDescent="0.2">
      <c r="A19" s="129" t="s">
        <v>143</v>
      </c>
      <c r="B19" s="60"/>
      <c r="C19" s="52"/>
      <c r="D19" s="52"/>
      <c r="E19" s="52" t="s">
        <v>37</v>
      </c>
      <c r="F19" s="53"/>
      <c r="G19" s="131">
        <f>SUMIF($A$73:$A$91,$A19,H$73:H$91)</f>
        <v>0</v>
      </c>
      <c r="H19" s="132">
        <f>G19-SUM(I19:P19)</f>
        <v>0</v>
      </c>
      <c r="I19" s="131">
        <f>SUMIF($A$73:$A$91,$A19,J$73:J$91)</f>
        <v>0</v>
      </c>
      <c r="J19" s="54"/>
      <c r="K19" s="131">
        <f>SUMIF($A$73:$A$91,$A19,K$73:K$91)</f>
        <v>0</v>
      </c>
      <c r="L19" s="54"/>
      <c r="M19" s="131">
        <f>SUMIF($A$73:$A$91,$A19,L$73:L$91)</f>
        <v>0</v>
      </c>
      <c r="N19" s="54"/>
      <c r="O19" s="54"/>
      <c r="P19" s="54"/>
    </row>
    <row r="20" spans="1:16" ht="15" customHeight="1" x14ac:dyDescent="0.2">
      <c r="A20" s="129" t="s">
        <v>144</v>
      </c>
      <c r="B20" s="60"/>
      <c r="C20" s="52"/>
      <c r="D20" s="52"/>
      <c r="E20" s="52" t="s">
        <v>4</v>
      </c>
      <c r="F20" s="53"/>
      <c r="G20" s="131">
        <f>SUMIF($A$73:$A$91,$A20,H$73:H$91)</f>
        <v>0</v>
      </c>
      <c r="H20" s="132">
        <f>G20-SUM(I20:P20)</f>
        <v>0</v>
      </c>
      <c r="I20" s="131">
        <f>SUMIF($A$73:$A$91,$A20,J$73:J$91)</f>
        <v>0</v>
      </c>
      <c r="J20" s="54"/>
      <c r="K20" s="131">
        <f>SUMIF($A$73:$A$91,$A20,K$73:K$91)</f>
        <v>0</v>
      </c>
      <c r="L20" s="54"/>
      <c r="M20" s="131">
        <f>SUMIF($A$73:$A$91,$A20,L$73:L$91)</f>
        <v>0</v>
      </c>
      <c r="N20" s="54"/>
      <c r="O20" s="54"/>
      <c r="P20" s="54"/>
    </row>
    <row r="21" spans="1:16" ht="15" customHeight="1" x14ac:dyDescent="0.2">
      <c r="A21" s="134"/>
      <c r="B21" s="60"/>
      <c r="C21" s="52"/>
      <c r="D21" s="52" t="s">
        <v>8</v>
      </c>
      <c r="E21" s="52"/>
      <c r="F21" s="53"/>
      <c r="G21" s="54">
        <f>SUM(G17:G20)</f>
        <v>0</v>
      </c>
      <c r="H21" s="54">
        <f t="shared" ref="H21:P21" si="1">SUM(H17:H20)</f>
        <v>0</v>
      </c>
      <c r="I21" s="54">
        <f t="shared" si="1"/>
        <v>0</v>
      </c>
      <c r="J21" s="54">
        <f t="shared" si="1"/>
        <v>0</v>
      </c>
      <c r="K21" s="54">
        <f t="shared" si="1"/>
        <v>0</v>
      </c>
      <c r="L21" s="54">
        <f t="shared" si="1"/>
        <v>0</v>
      </c>
      <c r="M21" s="54">
        <f t="shared" si="1"/>
        <v>0</v>
      </c>
      <c r="N21" s="54">
        <f t="shared" si="1"/>
        <v>0</v>
      </c>
      <c r="O21" s="54">
        <f t="shared" si="1"/>
        <v>0</v>
      </c>
      <c r="P21" s="54">
        <f t="shared" si="1"/>
        <v>0</v>
      </c>
    </row>
    <row r="22" spans="1:16" ht="15" customHeight="1" x14ac:dyDescent="0.2">
      <c r="A22" s="135"/>
      <c r="B22" s="55"/>
      <c r="C22" s="56" t="s">
        <v>9</v>
      </c>
      <c r="D22" s="56"/>
      <c r="E22" s="56"/>
      <c r="F22" s="57"/>
      <c r="G22" s="58">
        <f>G15+G21</f>
        <v>0</v>
      </c>
      <c r="H22" s="58">
        <f t="shared" ref="H22:P22" si="2">H15+H21</f>
        <v>0</v>
      </c>
      <c r="I22" s="58">
        <f t="shared" si="2"/>
        <v>0</v>
      </c>
      <c r="J22" s="58">
        <f t="shared" si="2"/>
        <v>0</v>
      </c>
      <c r="K22" s="58">
        <f t="shared" si="2"/>
        <v>0</v>
      </c>
      <c r="L22" s="58">
        <f t="shared" si="2"/>
        <v>0</v>
      </c>
      <c r="M22" s="58">
        <f t="shared" si="2"/>
        <v>0</v>
      </c>
      <c r="N22" s="58">
        <f t="shared" si="2"/>
        <v>0</v>
      </c>
      <c r="O22" s="58">
        <f t="shared" si="2"/>
        <v>0</v>
      </c>
      <c r="P22" s="58">
        <f t="shared" si="2"/>
        <v>0</v>
      </c>
    </row>
    <row r="23" spans="1:16" ht="15" customHeight="1" x14ac:dyDescent="0.2">
      <c r="A23" s="127"/>
      <c r="B23" s="60"/>
      <c r="C23" s="213" t="s">
        <v>79</v>
      </c>
      <c r="D23" s="213"/>
      <c r="E23" s="213"/>
      <c r="F23" s="21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t="15" customHeight="1" x14ac:dyDescent="0.2">
      <c r="A24" s="129"/>
      <c r="B24" s="60"/>
      <c r="C24" s="52"/>
      <c r="D24" s="52" t="s">
        <v>31</v>
      </c>
      <c r="E24" s="52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t="15" customHeight="1" x14ac:dyDescent="0.2">
      <c r="A25" s="129"/>
      <c r="B25" s="60"/>
      <c r="C25" s="52"/>
      <c r="D25" s="52"/>
      <c r="E25" s="52" t="s">
        <v>3</v>
      </c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t="15" customHeight="1" x14ac:dyDescent="0.2">
      <c r="A26" s="130" t="s">
        <v>145</v>
      </c>
      <c r="B26" s="60"/>
      <c r="C26" s="52"/>
      <c r="D26" s="52"/>
      <c r="E26" s="52"/>
      <c r="F26" s="53" t="s">
        <v>37</v>
      </c>
      <c r="G26" s="131">
        <f>SUMIF($A$73:$A$91,$A26,H$73:H$91)</f>
        <v>0</v>
      </c>
      <c r="H26" s="132">
        <f>G26-SUM(I26:P26)</f>
        <v>0</v>
      </c>
      <c r="I26" s="131">
        <f>SUMIF($A$73:$A$91,$A26,J$73:J$91)</f>
        <v>0</v>
      </c>
      <c r="J26" s="54"/>
      <c r="K26" s="131">
        <f>SUMIF($A$73:$A$91,$A26,K$73:K$91)</f>
        <v>0</v>
      </c>
      <c r="L26" s="54"/>
      <c r="M26" s="131">
        <f>SUMIF($A$73:$A$91,$A26,L$73:L$91)</f>
        <v>0</v>
      </c>
      <c r="N26" s="54"/>
      <c r="O26" s="54"/>
      <c r="P26" s="54"/>
    </row>
    <row r="27" spans="1:16" ht="15" customHeight="1" x14ac:dyDescent="0.2">
      <c r="A27" s="130" t="s">
        <v>146</v>
      </c>
      <c r="B27" s="60"/>
      <c r="C27" s="52"/>
      <c r="D27" s="52"/>
      <c r="E27" s="52"/>
      <c r="F27" s="53" t="s">
        <v>4</v>
      </c>
      <c r="G27" s="131">
        <f>SUMIF($A$73:$A$91,$A27,H$73:H$91)</f>
        <v>0</v>
      </c>
      <c r="H27" s="132">
        <f>G27-SUM(I27:P27)</f>
        <v>0</v>
      </c>
      <c r="I27" s="131">
        <f>SUMIF($A$73:$A$91,$A27,J$73:J$91)</f>
        <v>0</v>
      </c>
      <c r="J27" s="54"/>
      <c r="K27" s="131">
        <f>SUMIF($A$73:$A$91,$A27,K$73:K$91)</f>
        <v>0</v>
      </c>
      <c r="L27" s="54"/>
      <c r="M27" s="131">
        <f>SUMIF($A$73:$A$91,$A27,L$73:L$91)</f>
        <v>0</v>
      </c>
      <c r="N27" s="54"/>
      <c r="O27" s="54"/>
      <c r="P27" s="54"/>
    </row>
    <row r="28" spans="1:16" ht="15" customHeight="1" x14ac:dyDescent="0.2">
      <c r="A28" s="134"/>
      <c r="B28" s="60"/>
      <c r="C28" s="52"/>
      <c r="D28" s="52"/>
      <c r="E28" s="52" t="s">
        <v>7</v>
      </c>
      <c r="F28" s="53"/>
      <c r="G28" s="54">
        <f>SUM(G26:G27)</f>
        <v>0</v>
      </c>
      <c r="H28" s="54">
        <f t="shared" ref="H28:P28" si="3">SUM(H26:H27)</f>
        <v>0</v>
      </c>
      <c r="I28" s="54">
        <f t="shared" si="3"/>
        <v>0</v>
      </c>
      <c r="J28" s="54">
        <f t="shared" si="3"/>
        <v>0</v>
      </c>
      <c r="K28" s="54">
        <f t="shared" si="3"/>
        <v>0</v>
      </c>
      <c r="L28" s="54">
        <f t="shared" si="3"/>
        <v>0</v>
      </c>
      <c r="M28" s="54">
        <f t="shared" si="3"/>
        <v>0</v>
      </c>
      <c r="N28" s="54">
        <f t="shared" si="3"/>
        <v>0</v>
      </c>
      <c r="O28" s="54">
        <f t="shared" si="3"/>
        <v>0</v>
      </c>
      <c r="P28" s="54">
        <f t="shared" si="3"/>
        <v>0</v>
      </c>
    </row>
    <row r="29" spans="1:16" ht="15" customHeight="1" x14ac:dyDescent="0.2">
      <c r="A29" s="129"/>
      <c r="B29" s="60"/>
      <c r="C29" s="52"/>
      <c r="D29" s="52"/>
      <c r="E29" s="52" t="s">
        <v>5</v>
      </c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t="15" customHeight="1" x14ac:dyDescent="0.2">
      <c r="A30" s="129" t="s">
        <v>147</v>
      </c>
      <c r="B30" s="60"/>
      <c r="C30" s="52"/>
      <c r="D30" s="52"/>
      <c r="E30" s="52"/>
      <c r="F30" s="53" t="s">
        <v>37</v>
      </c>
      <c r="G30" s="131">
        <f>SUMIF($A$73:$A$91,$A30,H$73:H$91)</f>
        <v>0</v>
      </c>
      <c r="H30" s="132">
        <f>G30-SUM(I30:P30)</f>
        <v>0</v>
      </c>
      <c r="I30" s="131">
        <f>SUMIF($A$73:$A$91,$A30,J$73:J$91)</f>
        <v>0</v>
      </c>
      <c r="J30" s="54"/>
      <c r="K30" s="131">
        <f>SUMIF($A$73:$A$91,$A30,K$73:K$91)</f>
        <v>0</v>
      </c>
      <c r="L30" s="54"/>
      <c r="M30" s="131">
        <f>SUMIF($A$73:$A$91,$A30,L$73:L$91)</f>
        <v>0</v>
      </c>
      <c r="N30" s="54"/>
      <c r="O30" s="54"/>
      <c r="P30" s="54"/>
    </row>
    <row r="31" spans="1:16" ht="15" customHeight="1" x14ac:dyDescent="0.2">
      <c r="A31" s="129" t="s">
        <v>148</v>
      </c>
      <c r="B31" s="60"/>
      <c r="C31" s="52"/>
      <c r="D31" s="52"/>
      <c r="E31" s="52"/>
      <c r="F31" s="53" t="s">
        <v>4</v>
      </c>
      <c r="G31" s="131">
        <f>SUMIF($A$73:$A$91,$A31,H$73:H$91)</f>
        <v>0</v>
      </c>
      <c r="H31" s="132">
        <f>G31-SUM(I31:P31)</f>
        <v>0</v>
      </c>
      <c r="I31" s="131">
        <f>SUMIF($A$73:$A$91,$A31,J$73:J$91)</f>
        <v>0</v>
      </c>
      <c r="J31" s="54"/>
      <c r="K31" s="131">
        <f>SUMIF($A$73:$A$91,$A31,K$73:K$91)</f>
        <v>0</v>
      </c>
      <c r="L31" s="54"/>
      <c r="M31" s="131">
        <f>SUMIF($A$73:$A$91,$A31,L$73:L$91)</f>
        <v>0</v>
      </c>
      <c r="N31" s="54"/>
      <c r="O31" s="54"/>
      <c r="P31" s="54"/>
    </row>
    <row r="32" spans="1:16" ht="15" customHeight="1" x14ac:dyDescent="0.2">
      <c r="A32" s="134"/>
      <c r="B32" s="60"/>
      <c r="C32" s="52"/>
      <c r="D32" s="52"/>
      <c r="E32" s="52" t="s">
        <v>8</v>
      </c>
      <c r="F32" s="53"/>
      <c r="G32" s="54">
        <f>SUM(G30:G31)</f>
        <v>0</v>
      </c>
      <c r="H32" s="54">
        <f t="shared" ref="H32:P32" si="4">SUM(H30:H31)</f>
        <v>0</v>
      </c>
      <c r="I32" s="54">
        <f t="shared" si="4"/>
        <v>0</v>
      </c>
      <c r="J32" s="54">
        <f t="shared" si="4"/>
        <v>0</v>
      </c>
      <c r="K32" s="54">
        <f t="shared" si="4"/>
        <v>0</v>
      </c>
      <c r="L32" s="54">
        <f t="shared" si="4"/>
        <v>0</v>
      </c>
      <c r="M32" s="54">
        <f t="shared" si="4"/>
        <v>0</v>
      </c>
      <c r="N32" s="54">
        <f t="shared" si="4"/>
        <v>0</v>
      </c>
      <c r="O32" s="54">
        <f t="shared" si="4"/>
        <v>0</v>
      </c>
      <c r="P32" s="54">
        <f t="shared" si="4"/>
        <v>0</v>
      </c>
    </row>
    <row r="33" spans="1:16" ht="15" customHeight="1" x14ac:dyDescent="0.2">
      <c r="A33" s="134"/>
      <c r="B33" s="60"/>
      <c r="C33" s="52"/>
      <c r="D33" s="52" t="s">
        <v>32</v>
      </c>
      <c r="E33" s="52"/>
      <c r="F33" s="53"/>
      <c r="G33" s="54">
        <f>G28+G32</f>
        <v>0</v>
      </c>
      <c r="H33" s="54">
        <f t="shared" ref="H33:P33" si="5">H28+H32</f>
        <v>0</v>
      </c>
      <c r="I33" s="54">
        <f t="shared" si="5"/>
        <v>0</v>
      </c>
      <c r="J33" s="54">
        <f t="shared" si="5"/>
        <v>0</v>
      </c>
      <c r="K33" s="54">
        <f t="shared" si="5"/>
        <v>0</v>
      </c>
      <c r="L33" s="54">
        <f t="shared" si="5"/>
        <v>0</v>
      </c>
      <c r="M33" s="54">
        <f t="shared" si="5"/>
        <v>0</v>
      </c>
      <c r="N33" s="54">
        <f t="shared" si="5"/>
        <v>0</v>
      </c>
      <c r="O33" s="54">
        <f t="shared" si="5"/>
        <v>0</v>
      </c>
      <c r="P33" s="54">
        <f t="shared" si="5"/>
        <v>0</v>
      </c>
    </row>
    <row r="34" spans="1:16" ht="15" customHeight="1" x14ac:dyDescent="0.2">
      <c r="A34" s="129"/>
      <c r="B34" s="60"/>
      <c r="C34" s="52"/>
      <c r="D34" s="52" t="s">
        <v>33</v>
      </c>
      <c r="E34" s="52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t="15" customHeight="1" x14ac:dyDescent="0.2">
      <c r="A35" s="129"/>
      <c r="B35" s="60"/>
      <c r="C35" s="52"/>
      <c r="D35" s="52"/>
      <c r="E35" s="52" t="s">
        <v>3</v>
      </c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t="15" customHeight="1" x14ac:dyDescent="0.2">
      <c r="A36" s="129"/>
      <c r="B36" s="60"/>
      <c r="C36" s="52"/>
      <c r="D36" s="52"/>
      <c r="E36" s="52"/>
      <c r="F36" s="53" t="s">
        <v>37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t="15" customHeight="1" x14ac:dyDescent="0.2">
      <c r="A37" s="129"/>
      <c r="B37" s="60"/>
      <c r="C37" s="52"/>
      <c r="D37" s="52"/>
      <c r="E37" s="52"/>
      <c r="F37" s="53" t="s">
        <v>4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t="15" customHeight="1" x14ac:dyDescent="0.2">
      <c r="A38" s="134"/>
      <c r="B38" s="60"/>
      <c r="C38" s="52"/>
      <c r="D38" s="52"/>
      <c r="E38" s="52" t="s">
        <v>7</v>
      </c>
      <c r="F38" s="53"/>
      <c r="G38" s="54">
        <f>SUM(G36:G37)</f>
        <v>0</v>
      </c>
      <c r="H38" s="54">
        <f t="shared" ref="H38:P38" si="6">SUM(H36:H37)</f>
        <v>0</v>
      </c>
      <c r="I38" s="54">
        <f t="shared" si="6"/>
        <v>0</v>
      </c>
      <c r="J38" s="54">
        <f t="shared" si="6"/>
        <v>0</v>
      </c>
      <c r="K38" s="54">
        <f t="shared" si="6"/>
        <v>0</v>
      </c>
      <c r="L38" s="54">
        <f t="shared" si="6"/>
        <v>0</v>
      </c>
      <c r="M38" s="54">
        <f t="shared" si="6"/>
        <v>0</v>
      </c>
      <c r="N38" s="54">
        <f t="shared" si="6"/>
        <v>0</v>
      </c>
      <c r="O38" s="54">
        <f t="shared" si="6"/>
        <v>0</v>
      </c>
      <c r="P38" s="54">
        <f t="shared" si="6"/>
        <v>0</v>
      </c>
    </row>
    <row r="39" spans="1:16" ht="15" customHeight="1" x14ac:dyDescent="0.2">
      <c r="A39" s="129"/>
      <c r="B39" s="60"/>
      <c r="C39" s="52"/>
      <c r="D39" s="52"/>
      <c r="E39" s="52" t="s">
        <v>5</v>
      </c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t="15" customHeight="1" x14ac:dyDescent="0.2">
      <c r="A40" s="129"/>
      <c r="B40" s="60"/>
      <c r="C40" s="52"/>
      <c r="D40" s="52"/>
      <c r="E40" s="52"/>
      <c r="F40" s="53" t="s">
        <v>37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t="15" customHeight="1" x14ac:dyDescent="0.2">
      <c r="A41" s="129"/>
      <c r="B41" s="60"/>
      <c r="C41" s="52"/>
      <c r="D41" s="52"/>
      <c r="E41" s="52"/>
      <c r="F41" s="53" t="s">
        <v>4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t="15" customHeight="1" x14ac:dyDescent="0.2">
      <c r="A42" s="134"/>
      <c r="B42" s="60"/>
      <c r="C42" s="52"/>
      <c r="D42" s="52"/>
      <c r="E42" s="52" t="s">
        <v>8</v>
      </c>
      <c r="F42" s="53"/>
      <c r="G42" s="54">
        <f>SUM(G40:G41)</f>
        <v>0</v>
      </c>
      <c r="H42" s="54">
        <f t="shared" ref="H42:P42" si="7">SUM(H40:H41)</f>
        <v>0</v>
      </c>
      <c r="I42" s="54">
        <f t="shared" si="7"/>
        <v>0</v>
      </c>
      <c r="J42" s="54">
        <f t="shared" si="7"/>
        <v>0</v>
      </c>
      <c r="K42" s="54">
        <f t="shared" si="7"/>
        <v>0</v>
      </c>
      <c r="L42" s="54">
        <f t="shared" si="7"/>
        <v>0</v>
      </c>
      <c r="M42" s="54">
        <f t="shared" si="7"/>
        <v>0</v>
      </c>
      <c r="N42" s="54">
        <f t="shared" si="7"/>
        <v>0</v>
      </c>
      <c r="O42" s="54">
        <f t="shared" si="7"/>
        <v>0</v>
      </c>
      <c r="P42" s="54">
        <f t="shared" si="7"/>
        <v>0</v>
      </c>
    </row>
    <row r="43" spans="1:16" ht="15" customHeight="1" x14ac:dyDescent="0.2">
      <c r="A43" s="134"/>
      <c r="B43" s="60"/>
      <c r="C43" s="52"/>
      <c r="D43" s="52" t="s">
        <v>34</v>
      </c>
      <c r="E43" s="52"/>
      <c r="F43" s="53"/>
      <c r="G43" s="54">
        <f>G38+G42</f>
        <v>0</v>
      </c>
      <c r="H43" s="54">
        <f t="shared" ref="H43:P43" si="8">H38+H42</f>
        <v>0</v>
      </c>
      <c r="I43" s="54">
        <f t="shared" si="8"/>
        <v>0</v>
      </c>
      <c r="J43" s="54">
        <f t="shared" si="8"/>
        <v>0</v>
      </c>
      <c r="K43" s="54">
        <f t="shared" si="8"/>
        <v>0</v>
      </c>
      <c r="L43" s="54">
        <f t="shared" si="8"/>
        <v>0</v>
      </c>
      <c r="M43" s="54">
        <f t="shared" si="8"/>
        <v>0</v>
      </c>
      <c r="N43" s="54">
        <f t="shared" si="8"/>
        <v>0</v>
      </c>
      <c r="O43" s="54">
        <f t="shared" si="8"/>
        <v>0</v>
      </c>
      <c r="P43" s="54">
        <f t="shared" si="8"/>
        <v>0</v>
      </c>
    </row>
    <row r="44" spans="1:16" ht="15" customHeight="1" x14ac:dyDescent="0.2">
      <c r="A44" s="135"/>
      <c r="B44" s="55"/>
      <c r="C44" s="56" t="s">
        <v>80</v>
      </c>
      <c r="D44" s="56"/>
      <c r="E44" s="56"/>
      <c r="F44" s="57"/>
      <c r="G44" s="58">
        <f>G33+G43</f>
        <v>0</v>
      </c>
      <c r="H44" s="58">
        <f t="shared" ref="H44:P44" si="9">H33+H43</f>
        <v>0</v>
      </c>
      <c r="I44" s="58">
        <f t="shared" si="9"/>
        <v>0</v>
      </c>
      <c r="J44" s="58">
        <f t="shared" si="9"/>
        <v>0</v>
      </c>
      <c r="K44" s="58">
        <f t="shared" si="9"/>
        <v>0</v>
      </c>
      <c r="L44" s="58">
        <f t="shared" si="9"/>
        <v>0</v>
      </c>
      <c r="M44" s="58">
        <f t="shared" si="9"/>
        <v>0</v>
      </c>
      <c r="N44" s="58">
        <f t="shared" si="9"/>
        <v>0</v>
      </c>
      <c r="O44" s="58">
        <f t="shared" si="9"/>
        <v>0</v>
      </c>
      <c r="P44" s="58">
        <f t="shared" si="9"/>
        <v>0</v>
      </c>
    </row>
    <row r="45" spans="1:16" ht="15" customHeight="1" x14ac:dyDescent="0.2">
      <c r="A45" s="137"/>
      <c r="B45" s="60"/>
      <c r="C45" s="209" t="s">
        <v>12</v>
      </c>
      <c r="D45" s="209"/>
      <c r="E45" s="209"/>
      <c r="F45" s="210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t="15" customHeight="1" x14ac:dyDescent="0.2">
      <c r="A46" s="129"/>
      <c r="B46" s="60"/>
      <c r="C46" s="52"/>
      <c r="D46" s="52" t="s">
        <v>3</v>
      </c>
      <c r="E46" s="52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t="15" customHeight="1" x14ac:dyDescent="0.2">
      <c r="A47" s="129"/>
      <c r="B47" s="60"/>
      <c r="C47" s="52"/>
      <c r="D47" s="52"/>
      <c r="E47" s="52" t="s">
        <v>10</v>
      </c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t="15" customHeight="1" x14ac:dyDescent="0.2">
      <c r="A48" s="129"/>
      <c r="B48" s="60"/>
      <c r="C48" s="52"/>
      <c r="D48" s="52"/>
      <c r="E48" s="52" t="s">
        <v>11</v>
      </c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t="15" customHeight="1" x14ac:dyDescent="0.2">
      <c r="A49" s="130" t="s">
        <v>149</v>
      </c>
      <c r="B49" s="60"/>
      <c r="C49" s="52"/>
      <c r="D49" s="52"/>
      <c r="E49" s="52" t="s">
        <v>37</v>
      </c>
      <c r="F49" s="53"/>
      <c r="G49" s="131">
        <f>SUMIF($A$73:$A$91,$A49,H$73:H$91)</f>
        <v>1E-8</v>
      </c>
      <c r="H49" s="132">
        <f>G49-SUM(I49:P49)</f>
        <v>1E-8</v>
      </c>
      <c r="I49" s="131">
        <f>SUMIF($A$73:$A$91,$A49,J$73:J$91)</f>
        <v>0</v>
      </c>
      <c r="J49" s="54"/>
      <c r="K49" s="131">
        <f>SUMIF($A$73:$A$91,$A49,K$73:K$91)</f>
        <v>0</v>
      </c>
      <c r="L49" s="54"/>
      <c r="M49" s="131">
        <f>SUMIF($A$73:$A$91,$A49,L$73:L$91)</f>
        <v>0</v>
      </c>
      <c r="N49" s="54"/>
      <c r="O49" s="54"/>
      <c r="P49" s="54"/>
    </row>
    <row r="50" spans="1:16" ht="15" customHeight="1" x14ac:dyDescent="0.2">
      <c r="A50" s="130" t="s">
        <v>150</v>
      </c>
      <c r="B50" s="60"/>
      <c r="C50" s="52"/>
      <c r="D50" s="52"/>
      <c r="E50" s="52" t="s">
        <v>4</v>
      </c>
      <c r="F50" s="53"/>
      <c r="G50" s="131">
        <f>SUMIF($A$73:$A$91,$A50,H$73:H$91)</f>
        <v>1E-8</v>
      </c>
      <c r="H50" s="132">
        <f>G50-SUM(I50:P50)</f>
        <v>1E-8</v>
      </c>
      <c r="I50" s="131">
        <f>SUMIF($A$73:$A$91,$A50,J$73:J$91)</f>
        <v>0</v>
      </c>
      <c r="J50" s="54"/>
      <c r="K50" s="131">
        <f>SUMIF($A$73:$A$91,$A50,K$73:K$91)</f>
        <v>0</v>
      </c>
      <c r="L50" s="54"/>
      <c r="M50" s="131">
        <f>SUMIF($A$73:$A$91,$A50,L$73:L$91)</f>
        <v>0</v>
      </c>
      <c r="N50" s="54"/>
      <c r="O50" s="54"/>
      <c r="P50" s="54"/>
    </row>
    <row r="51" spans="1:16" ht="15" customHeight="1" x14ac:dyDescent="0.2">
      <c r="A51" s="134"/>
      <c r="B51" s="60"/>
      <c r="C51" s="52"/>
      <c r="D51" s="52" t="s">
        <v>7</v>
      </c>
      <c r="E51" s="52"/>
      <c r="F51" s="53"/>
      <c r="G51" s="54">
        <f>SUM(G47:G50)</f>
        <v>2E-8</v>
      </c>
      <c r="H51" s="54">
        <f t="shared" ref="H51:P51" si="10">SUM(H47:H50)</f>
        <v>2E-8</v>
      </c>
      <c r="I51" s="54">
        <f t="shared" si="10"/>
        <v>0</v>
      </c>
      <c r="J51" s="54">
        <f t="shared" si="10"/>
        <v>0</v>
      </c>
      <c r="K51" s="54">
        <f t="shared" si="10"/>
        <v>0</v>
      </c>
      <c r="L51" s="54">
        <f t="shared" si="10"/>
        <v>0</v>
      </c>
      <c r="M51" s="54">
        <f t="shared" si="10"/>
        <v>0</v>
      </c>
      <c r="N51" s="54">
        <f t="shared" si="10"/>
        <v>0</v>
      </c>
      <c r="O51" s="54">
        <f t="shared" si="10"/>
        <v>0</v>
      </c>
      <c r="P51" s="54">
        <f t="shared" si="10"/>
        <v>0</v>
      </c>
    </row>
    <row r="52" spans="1:16" ht="15" customHeight="1" x14ac:dyDescent="0.2">
      <c r="A52" s="129"/>
      <c r="B52" s="60"/>
      <c r="C52" s="52"/>
      <c r="D52" s="52" t="s">
        <v>5</v>
      </c>
      <c r="E52" s="52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t="15" customHeight="1" x14ac:dyDescent="0.2">
      <c r="A53" s="129"/>
      <c r="B53" s="60"/>
      <c r="C53" s="52"/>
      <c r="D53" s="52"/>
      <c r="E53" s="52" t="s">
        <v>10</v>
      </c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t="15" customHeight="1" x14ac:dyDescent="0.2">
      <c r="A54" s="129"/>
      <c r="B54" s="60"/>
      <c r="C54" s="52"/>
      <c r="D54" s="52"/>
      <c r="E54" s="52" t="s">
        <v>11</v>
      </c>
      <c r="F54" s="53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t="15" customHeight="1" x14ac:dyDescent="0.2">
      <c r="A55" s="129" t="s">
        <v>151</v>
      </c>
      <c r="B55" s="60"/>
      <c r="C55" s="52"/>
      <c r="D55" s="52"/>
      <c r="E55" s="52" t="s">
        <v>37</v>
      </c>
      <c r="F55" s="53"/>
      <c r="G55" s="131">
        <f>SUMIF($A$73:$A$91,$A55,H$73:H$91)</f>
        <v>1E-8</v>
      </c>
      <c r="H55" s="132">
        <f>G55-SUM(I55:P55)</f>
        <v>1E-8</v>
      </c>
      <c r="I55" s="131">
        <f>SUMIF($A$73:$A$91,$A55,J$73:J$91)</f>
        <v>0</v>
      </c>
      <c r="J55" s="54"/>
      <c r="K55" s="131">
        <f>SUMIF($A$73:$A$91,$A55,K$73:K$91)</f>
        <v>0</v>
      </c>
      <c r="L55" s="54"/>
      <c r="M55" s="131">
        <f>SUMIF($A$73:$A$91,$A55,L$73:L$91)</f>
        <v>0</v>
      </c>
      <c r="N55" s="54"/>
      <c r="O55" s="54"/>
      <c r="P55" s="54"/>
    </row>
    <row r="56" spans="1:16" ht="15" customHeight="1" x14ac:dyDescent="0.2">
      <c r="A56" s="129" t="s">
        <v>152</v>
      </c>
      <c r="B56" s="60"/>
      <c r="C56" s="52"/>
      <c r="D56" s="52"/>
      <c r="E56" s="52" t="s">
        <v>4</v>
      </c>
      <c r="F56" s="53"/>
      <c r="G56" s="131">
        <f>SUMIF($A$73:$A$91,$A56,H$73:H$91)</f>
        <v>1E-8</v>
      </c>
      <c r="H56" s="132">
        <f>G56-SUM(I56:P56)</f>
        <v>1E-8</v>
      </c>
      <c r="I56" s="131">
        <f>SUMIF($A$73:$A$91,$A56,J$73:J$91)</f>
        <v>0</v>
      </c>
      <c r="J56" s="54"/>
      <c r="K56" s="131">
        <f>SUMIF($A$73:$A$91,$A56,K$73:K$91)</f>
        <v>0</v>
      </c>
      <c r="L56" s="54"/>
      <c r="M56" s="131">
        <f>SUMIF($A$73:$A$91,$A56,L$73:L$91)</f>
        <v>0</v>
      </c>
      <c r="N56" s="54"/>
      <c r="O56" s="54"/>
      <c r="P56" s="54"/>
    </row>
    <row r="57" spans="1:16" ht="15" customHeight="1" x14ac:dyDescent="0.2">
      <c r="A57" s="134"/>
      <c r="B57" s="60"/>
      <c r="C57" s="52"/>
      <c r="D57" s="52" t="s">
        <v>8</v>
      </c>
      <c r="E57" s="52"/>
      <c r="F57" s="53"/>
      <c r="G57" s="54">
        <f>SUM(G53:G56)</f>
        <v>2E-8</v>
      </c>
      <c r="H57" s="54">
        <f t="shared" ref="H57:P57" si="11">SUM(H53:H56)</f>
        <v>2E-8</v>
      </c>
      <c r="I57" s="54">
        <f t="shared" si="11"/>
        <v>0</v>
      </c>
      <c r="J57" s="54">
        <f t="shared" si="11"/>
        <v>0</v>
      </c>
      <c r="K57" s="54">
        <f t="shared" si="11"/>
        <v>0</v>
      </c>
      <c r="L57" s="54">
        <f t="shared" si="11"/>
        <v>0</v>
      </c>
      <c r="M57" s="54">
        <f t="shared" si="11"/>
        <v>0</v>
      </c>
      <c r="N57" s="54">
        <f t="shared" si="11"/>
        <v>0</v>
      </c>
      <c r="O57" s="54">
        <f t="shared" si="11"/>
        <v>0</v>
      </c>
      <c r="P57" s="54">
        <f t="shared" si="11"/>
        <v>0</v>
      </c>
    </row>
    <row r="58" spans="1:16" ht="15" customHeight="1" x14ac:dyDescent="0.2">
      <c r="A58" s="135"/>
      <c r="B58" s="55"/>
      <c r="C58" s="56" t="s">
        <v>13</v>
      </c>
      <c r="D58" s="56"/>
      <c r="E58" s="56"/>
      <c r="F58" s="57"/>
      <c r="G58" s="58">
        <f>G57+G51</f>
        <v>4.0000000000000001E-8</v>
      </c>
      <c r="H58" s="58">
        <f t="shared" ref="H58:P58" si="12">H57+H51</f>
        <v>4.0000000000000001E-8</v>
      </c>
      <c r="I58" s="58">
        <f t="shared" si="12"/>
        <v>0</v>
      </c>
      <c r="J58" s="58">
        <f t="shared" si="12"/>
        <v>0</v>
      </c>
      <c r="K58" s="58">
        <f t="shared" si="12"/>
        <v>0</v>
      </c>
      <c r="L58" s="58">
        <f t="shared" si="12"/>
        <v>0</v>
      </c>
      <c r="M58" s="58">
        <f t="shared" si="12"/>
        <v>0</v>
      </c>
      <c r="N58" s="58">
        <f t="shared" si="12"/>
        <v>0</v>
      </c>
      <c r="O58" s="58">
        <f t="shared" si="12"/>
        <v>0</v>
      </c>
      <c r="P58" s="58">
        <f t="shared" si="12"/>
        <v>0</v>
      </c>
    </row>
    <row r="59" spans="1:16" ht="19.5" customHeight="1" x14ac:dyDescent="0.25">
      <c r="A59" s="138"/>
      <c r="B59" s="117" t="s">
        <v>14</v>
      </c>
      <c r="C59" s="105"/>
      <c r="D59" s="105"/>
      <c r="E59" s="105"/>
      <c r="F59" s="106"/>
      <c r="G59" s="107">
        <f>G22+G44+G58</f>
        <v>4.0000000000000001E-8</v>
      </c>
      <c r="H59" s="107">
        <f t="shared" ref="H59:P59" si="13">H22+H44+H58</f>
        <v>4.0000000000000001E-8</v>
      </c>
      <c r="I59" s="107">
        <f t="shared" si="13"/>
        <v>0</v>
      </c>
      <c r="J59" s="107">
        <f t="shared" si="13"/>
        <v>0</v>
      </c>
      <c r="K59" s="107">
        <f t="shared" si="13"/>
        <v>0</v>
      </c>
      <c r="L59" s="107">
        <f t="shared" si="13"/>
        <v>0</v>
      </c>
      <c r="M59" s="107">
        <f t="shared" si="13"/>
        <v>0</v>
      </c>
      <c r="N59" s="107">
        <f t="shared" si="13"/>
        <v>0</v>
      </c>
      <c r="O59" s="107">
        <f t="shared" si="13"/>
        <v>0</v>
      </c>
      <c r="P59" s="107">
        <f t="shared" si="13"/>
        <v>0</v>
      </c>
    </row>
    <row r="60" spans="1:16" x14ac:dyDescent="0.2">
      <c r="A60" s="94"/>
    </row>
    <row r="61" spans="1:16" x14ac:dyDescent="0.2">
      <c r="A61" s="94"/>
      <c r="B61" s="48" t="s">
        <v>153</v>
      </c>
      <c r="F61" s="232">
        <f>SUM(G61:P61)</f>
        <v>0</v>
      </c>
      <c r="G61" s="94">
        <f>G59-H69</f>
        <v>0</v>
      </c>
      <c r="H61" s="94">
        <f>H59-H71</f>
        <v>0</v>
      </c>
      <c r="I61" s="94">
        <f>I59-J69</f>
        <v>0</v>
      </c>
      <c r="J61" s="94"/>
      <c r="K61" s="94">
        <f>K59-K69</f>
        <v>0</v>
      </c>
      <c r="L61" s="94"/>
      <c r="M61" s="94">
        <f>M59-L69</f>
        <v>0</v>
      </c>
      <c r="N61" s="94"/>
      <c r="O61" s="94"/>
      <c r="P61" s="94"/>
    </row>
    <row r="62" spans="1:16" x14ac:dyDescent="0.2">
      <c r="J62" s="166" t="s">
        <v>123</v>
      </c>
      <c r="K62" s="94"/>
      <c r="L62" s="94"/>
    </row>
    <row r="63" spans="1:16" ht="15.75" x14ac:dyDescent="0.25">
      <c r="B63" s="167" t="s">
        <v>118</v>
      </c>
      <c r="C63" s="168"/>
      <c r="D63" s="94"/>
      <c r="E63" s="166"/>
      <c r="G63" s="166" t="s">
        <v>124</v>
      </c>
      <c r="H63" s="166" t="s">
        <v>103</v>
      </c>
      <c r="I63" s="166" t="s">
        <v>137</v>
      </c>
      <c r="J63" s="166" t="s">
        <v>110</v>
      </c>
      <c r="K63" s="166" t="s">
        <v>122</v>
      </c>
      <c r="L63" s="166" t="s">
        <v>131</v>
      </c>
      <c r="M63" s="166" t="s">
        <v>0</v>
      </c>
    </row>
    <row r="64" spans="1:16" x14ac:dyDescent="0.2">
      <c r="B64" s="94" t="s">
        <v>119</v>
      </c>
      <c r="C64" s="94" t="s">
        <v>107</v>
      </c>
      <c r="D64" s="94"/>
      <c r="G64" s="94">
        <v>1E-8</v>
      </c>
      <c r="H64" s="94">
        <v>1E-8</v>
      </c>
      <c r="I64" s="94"/>
      <c r="J64" s="94"/>
      <c r="K64" s="94"/>
      <c r="L64" s="94"/>
    </row>
    <row r="65" spans="1:13" x14ac:dyDescent="0.2">
      <c r="B65" s="94" t="s">
        <v>120</v>
      </c>
      <c r="C65" s="94" t="s">
        <v>121</v>
      </c>
      <c r="D65" s="94"/>
      <c r="G65" s="94">
        <v>1E-8</v>
      </c>
      <c r="H65" s="94">
        <v>1E-8</v>
      </c>
      <c r="I65" s="94">
        <f>H64+H65</f>
        <v>2E-8</v>
      </c>
      <c r="J65" s="94"/>
      <c r="K65" s="94"/>
      <c r="L65" s="94"/>
      <c r="M65" s="94">
        <f>I65-SUM(J65:L65)</f>
        <v>2E-8</v>
      </c>
    </row>
    <row r="66" spans="1:13" x14ac:dyDescent="0.2">
      <c r="B66" s="94" t="s">
        <v>140</v>
      </c>
      <c r="C66" s="94" t="s">
        <v>108</v>
      </c>
      <c r="D66" s="94"/>
      <c r="G66" s="94">
        <v>1E-8</v>
      </c>
      <c r="H66" s="94">
        <v>1E-8</v>
      </c>
      <c r="I66" s="94"/>
      <c r="J66" s="94"/>
      <c r="K66" s="94"/>
      <c r="L66" s="94"/>
    </row>
    <row r="67" spans="1:13" x14ac:dyDescent="0.2">
      <c r="B67" s="94" t="s">
        <v>141</v>
      </c>
      <c r="C67" s="94" t="s">
        <v>109</v>
      </c>
      <c r="D67" s="94"/>
      <c r="G67" s="94">
        <v>1E-8</v>
      </c>
      <c r="H67" s="94">
        <v>1E-8</v>
      </c>
      <c r="I67" s="94">
        <f>H66+H67</f>
        <v>2E-8</v>
      </c>
      <c r="J67" s="94"/>
      <c r="K67" s="94"/>
      <c r="L67" s="94"/>
      <c r="M67" s="94">
        <f>I67-SUM(J67:L67)</f>
        <v>2E-8</v>
      </c>
    </row>
    <row r="68" spans="1:13" x14ac:dyDescent="0.2">
      <c r="B68" s="94"/>
      <c r="C68" s="94"/>
      <c r="D68" s="94"/>
      <c r="G68" s="94"/>
      <c r="H68" s="94"/>
      <c r="I68" s="94"/>
      <c r="J68" s="94"/>
      <c r="K68" s="94"/>
      <c r="L68" s="94"/>
    </row>
    <row r="69" spans="1:13" x14ac:dyDescent="0.2">
      <c r="B69" s="94"/>
      <c r="C69" s="94" t="s">
        <v>106</v>
      </c>
      <c r="D69" s="94"/>
      <c r="G69" s="169">
        <f>SUM(G64:G67)</f>
        <v>4.0000000000000001E-8</v>
      </c>
      <c r="H69" s="169">
        <f>SUM(H64:H67)</f>
        <v>4.0000000000000001E-8</v>
      </c>
      <c r="I69" s="169">
        <f>SUM(I64:I67)</f>
        <v>4.0000000000000001E-8</v>
      </c>
      <c r="J69" s="169">
        <f>SUM(J65:J67)</f>
        <v>0</v>
      </c>
      <c r="K69" s="169">
        <f>SUM(K65:K67)</f>
        <v>0</v>
      </c>
      <c r="L69" s="169">
        <f>SUM(L65:L67)</f>
        <v>0</v>
      </c>
      <c r="M69" s="169">
        <f>SUM(M65:M67)</f>
        <v>4.0000000000000001E-8</v>
      </c>
    </row>
    <row r="70" spans="1:13" x14ac:dyDescent="0.2">
      <c r="B70" s="94"/>
      <c r="C70" s="94" t="s">
        <v>123</v>
      </c>
      <c r="D70" s="94"/>
      <c r="G70" s="94">
        <v>1E-8</v>
      </c>
      <c r="H70" s="94">
        <f>SUM(J69:L69)</f>
        <v>0</v>
      </c>
      <c r="I70" s="94"/>
      <c r="J70" s="94"/>
      <c r="K70" s="94"/>
      <c r="L70" s="94"/>
    </row>
    <row r="71" spans="1:13" x14ac:dyDescent="0.2">
      <c r="B71" s="94"/>
      <c r="C71" s="94" t="s">
        <v>128</v>
      </c>
      <c r="D71" s="94"/>
      <c r="G71" s="169">
        <f>G69-G70</f>
        <v>3.0000000000000004E-8</v>
      </c>
      <c r="H71" s="169">
        <f>H69-H70</f>
        <v>4.0000000000000001E-8</v>
      </c>
      <c r="I71" s="129"/>
      <c r="J71" s="94"/>
      <c r="K71" s="94"/>
      <c r="L71" s="94"/>
    </row>
    <row r="72" spans="1:13" x14ac:dyDescent="0.2">
      <c r="B72" s="94"/>
      <c r="C72" s="94"/>
      <c r="D72" s="94"/>
      <c r="G72" s="94"/>
      <c r="H72" s="94"/>
      <c r="I72" s="94"/>
      <c r="J72" s="94"/>
      <c r="K72" s="94"/>
      <c r="L72" s="94"/>
    </row>
    <row r="73" spans="1:13" ht="19.5" customHeight="1" x14ac:dyDescent="0.25">
      <c r="B73" s="168" t="s">
        <v>125</v>
      </c>
      <c r="C73" s="168" t="s">
        <v>129</v>
      </c>
      <c r="D73" s="94"/>
      <c r="G73" s="94">
        <v>0</v>
      </c>
      <c r="H73" s="94"/>
      <c r="I73" s="94"/>
      <c r="J73" s="166" t="s">
        <v>110</v>
      </c>
      <c r="K73" s="166" t="s">
        <v>139</v>
      </c>
      <c r="L73" s="166" t="s">
        <v>4</v>
      </c>
      <c r="M73" s="166" t="s">
        <v>0</v>
      </c>
    </row>
    <row r="74" spans="1:13" x14ac:dyDescent="0.2">
      <c r="A74" s="94" t="str">
        <f>$B$73&amp;B74</f>
        <v>FCP</v>
      </c>
      <c r="B74" s="94" t="s">
        <v>119</v>
      </c>
      <c r="C74" s="94" t="s">
        <v>107</v>
      </c>
      <c r="D74" s="94"/>
      <c r="G74" s="94"/>
      <c r="H74" s="94">
        <f>G73/G91*H64</f>
        <v>0</v>
      </c>
      <c r="I74" s="170" t="str">
        <f ca="1">"Row "&amp;CELL("row",J65)</f>
        <v>Row 65</v>
      </c>
      <c r="J74" s="170">
        <f t="shared" ref="J74:L75" si="14">$H74/$I$65*J$65</f>
        <v>0</v>
      </c>
      <c r="K74" s="170">
        <f t="shared" si="14"/>
        <v>0</v>
      </c>
      <c r="L74" s="170">
        <f t="shared" si="14"/>
        <v>0</v>
      </c>
      <c r="M74" s="94">
        <f>H74-SUM(J74:L74)</f>
        <v>0</v>
      </c>
    </row>
    <row r="75" spans="1:13" x14ac:dyDescent="0.2">
      <c r="A75" s="94" t="str">
        <f>$B$73&amp;B75</f>
        <v>FCO</v>
      </c>
      <c r="B75" s="94" t="s">
        <v>120</v>
      </c>
      <c r="C75" s="94" t="s">
        <v>121</v>
      </c>
      <c r="D75" s="94"/>
      <c r="G75" s="94"/>
      <c r="H75" s="94">
        <f>G73/G91*H65</f>
        <v>0</v>
      </c>
      <c r="I75" s="94"/>
      <c r="J75" s="170">
        <f t="shared" si="14"/>
        <v>0</v>
      </c>
      <c r="K75" s="170">
        <f t="shared" si="14"/>
        <v>0</v>
      </c>
      <c r="L75" s="170">
        <f t="shared" si="14"/>
        <v>0</v>
      </c>
      <c r="M75" s="94">
        <f>H75-SUM(J75:L75)</f>
        <v>0</v>
      </c>
    </row>
    <row r="76" spans="1:13" x14ac:dyDescent="0.2">
      <c r="A76" s="94" t="str">
        <f>$B$73&amp;B76</f>
        <v>FKP</v>
      </c>
      <c r="B76" s="94" t="s">
        <v>140</v>
      </c>
      <c r="C76" s="94" t="s">
        <v>108</v>
      </c>
      <c r="D76" s="94"/>
      <c r="G76" s="94"/>
      <c r="H76" s="94">
        <f>G73/G91*H66</f>
        <v>0</v>
      </c>
      <c r="I76" s="94" t="str">
        <f ca="1">"Row "&amp;CELL("row",J67)</f>
        <v>Row 67</v>
      </c>
      <c r="J76" s="94">
        <f t="shared" ref="J76:L77" si="15">$H76/$I$67*J$67</f>
        <v>0</v>
      </c>
      <c r="K76" s="94">
        <f t="shared" si="15"/>
        <v>0</v>
      </c>
      <c r="L76" s="94">
        <f t="shared" si="15"/>
        <v>0</v>
      </c>
      <c r="M76" s="94">
        <f>H76-SUM(J76:L76)</f>
        <v>0</v>
      </c>
    </row>
    <row r="77" spans="1:13" x14ac:dyDescent="0.2">
      <c r="A77" s="94" t="str">
        <f>$B$73&amp;B77</f>
        <v>FKO</v>
      </c>
      <c r="B77" s="94" t="s">
        <v>141</v>
      </c>
      <c r="C77" s="94" t="s">
        <v>109</v>
      </c>
      <c r="D77" s="94"/>
      <c r="G77" s="94"/>
      <c r="H77" s="94">
        <f>G73/G91*H67</f>
        <v>0</v>
      </c>
      <c r="I77" s="94"/>
      <c r="J77" s="94">
        <f t="shared" si="15"/>
        <v>0</v>
      </c>
      <c r="K77" s="94">
        <f t="shared" si="15"/>
        <v>0</v>
      </c>
      <c r="L77" s="94">
        <f t="shared" si="15"/>
        <v>0</v>
      </c>
      <c r="M77" s="94">
        <f>H77-SUM(J77:L77)</f>
        <v>0</v>
      </c>
    </row>
    <row r="78" spans="1:13" x14ac:dyDescent="0.2">
      <c r="B78" s="94"/>
      <c r="C78" s="94"/>
      <c r="D78" s="94"/>
      <c r="G78" s="94"/>
      <c r="H78" s="94"/>
      <c r="I78" s="94"/>
      <c r="J78" s="94"/>
      <c r="K78" s="94"/>
      <c r="L78" s="94"/>
    </row>
    <row r="79" spans="1:13" ht="22.5" customHeight="1" x14ac:dyDescent="0.25">
      <c r="B79" s="168" t="s">
        <v>126</v>
      </c>
      <c r="C79" s="168" t="s">
        <v>130</v>
      </c>
      <c r="D79" s="94"/>
      <c r="G79" s="94">
        <v>0</v>
      </c>
      <c r="H79" s="94"/>
      <c r="I79" s="94"/>
      <c r="J79" s="94"/>
      <c r="K79" s="94"/>
      <c r="L79" s="94"/>
    </row>
    <row r="80" spans="1:13" x14ac:dyDescent="0.2">
      <c r="A80" s="94" t="str">
        <f>$B$79&amp;B80</f>
        <v>SCP</v>
      </c>
      <c r="B80" s="94" t="s">
        <v>119</v>
      </c>
      <c r="C80" s="94" t="s">
        <v>107</v>
      </c>
      <c r="D80" s="94"/>
      <c r="G80" s="94"/>
      <c r="H80" s="94">
        <f>G79/G91*H64</f>
        <v>0</v>
      </c>
      <c r="I80" s="94"/>
      <c r="J80" s="170">
        <f t="shared" ref="J80:L81" si="16">$H80/$I$65*J$65</f>
        <v>0</v>
      </c>
      <c r="K80" s="170">
        <f t="shared" si="16"/>
        <v>0</v>
      </c>
      <c r="L80" s="170">
        <f t="shared" si="16"/>
        <v>0</v>
      </c>
      <c r="M80" s="94">
        <f>H80-SUM(J80:L80)</f>
        <v>0</v>
      </c>
    </row>
    <row r="81" spans="1:13" x14ac:dyDescent="0.2">
      <c r="A81" s="94" t="str">
        <f>$B$79&amp;B81</f>
        <v>SCO</v>
      </c>
      <c r="B81" s="94" t="s">
        <v>120</v>
      </c>
      <c r="C81" s="94" t="s">
        <v>121</v>
      </c>
      <c r="D81" s="94"/>
      <c r="G81" s="94"/>
      <c r="H81" s="94">
        <f>G79/G91*H65</f>
        <v>0</v>
      </c>
      <c r="I81" s="94"/>
      <c r="J81" s="170">
        <f t="shared" si="16"/>
        <v>0</v>
      </c>
      <c r="K81" s="170">
        <f t="shared" si="16"/>
        <v>0</v>
      </c>
      <c r="L81" s="170">
        <f t="shared" si="16"/>
        <v>0</v>
      </c>
      <c r="M81" s="94">
        <f>H81-SUM(J81:L81)</f>
        <v>0</v>
      </c>
    </row>
    <row r="82" spans="1:13" x14ac:dyDescent="0.2">
      <c r="A82" s="94" t="str">
        <f>$B$79&amp;B82</f>
        <v>SKP</v>
      </c>
      <c r="B82" s="94" t="s">
        <v>140</v>
      </c>
      <c r="C82" s="94" t="s">
        <v>108</v>
      </c>
      <c r="D82" s="94"/>
      <c r="G82" s="94"/>
      <c r="H82" s="94">
        <f>G79/G91*H66</f>
        <v>0</v>
      </c>
      <c r="I82" s="94"/>
      <c r="J82" s="94">
        <f t="shared" ref="J82:L83" si="17">$H82/$I$67*J$67</f>
        <v>0</v>
      </c>
      <c r="K82" s="94">
        <f t="shared" si="17"/>
        <v>0</v>
      </c>
      <c r="L82" s="94">
        <f t="shared" si="17"/>
        <v>0</v>
      </c>
      <c r="M82" s="94">
        <f>H82-SUM(J82:L82)</f>
        <v>0</v>
      </c>
    </row>
    <row r="83" spans="1:13" x14ac:dyDescent="0.2">
      <c r="A83" s="94" t="str">
        <f>$B$79&amp;B83</f>
        <v>SKO</v>
      </c>
      <c r="B83" s="94" t="s">
        <v>141</v>
      </c>
      <c r="C83" s="94" t="s">
        <v>109</v>
      </c>
      <c r="D83" s="94"/>
      <c r="G83" s="94"/>
      <c r="H83" s="94">
        <f>G79/G91*H67</f>
        <v>0</v>
      </c>
      <c r="I83" s="94"/>
      <c r="J83" s="94">
        <f t="shared" si="17"/>
        <v>0</v>
      </c>
      <c r="K83" s="94">
        <f t="shared" si="17"/>
        <v>0</v>
      </c>
      <c r="L83" s="94">
        <f t="shared" si="17"/>
        <v>0</v>
      </c>
      <c r="M83" s="94">
        <f>H83-SUM(J83:L83)</f>
        <v>0</v>
      </c>
    </row>
    <row r="84" spans="1:13" x14ac:dyDescent="0.2">
      <c r="B84" s="94"/>
      <c r="C84" s="94"/>
      <c r="D84" s="94"/>
      <c r="G84" s="94"/>
      <c r="H84" s="94"/>
      <c r="I84" s="94"/>
      <c r="J84" s="94"/>
      <c r="K84" s="94"/>
      <c r="L84" s="94"/>
    </row>
    <row r="85" spans="1:13" ht="21.75" customHeight="1" x14ac:dyDescent="0.25">
      <c r="B85" s="168" t="s">
        <v>127</v>
      </c>
      <c r="C85" s="168" t="s">
        <v>159</v>
      </c>
      <c r="D85" s="94"/>
      <c r="G85" s="94">
        <f>G71-G73-G79</f>
        <v>3.0000000000000004E-8</v>
      </c>
      <c r="H85" s="94"/>
      <c r="I85" s="94"/>
      <c r="J85" s="94"/>
      <c r="K85" s="94"/>
      <c r="L85" s="94"/>
    </row>
    <row r="86" spans="1:13" x14ac:dyDescent="0.2">
      <c r="A86" s="94" t="str">
        <f>$B$85&amp;B86</f>
        <v>OCP</v>
      </c>
      <c r="B86" s="94" t="s">
        <v>119</v>
      </c>
      <c r="C86" s="94" t="s">
        <v>107</v>
      </c>
      <c r="D86" s="94"/>
      <c r="G86" s="94"/>
      <c r="H86" s="94">
        <f>H64-H74-H80</f>
        <v>1E-8</v>
      </c>
      <c r="I86" s="94"/>
      <c r="J86" s="170">
        <f t="shared" ref="J86:L87" si="18">$H86/$I$65*J$65</f>
        <v>0</v>
      </c>
      <c r="K86" s="170">
        <f t="shared" si="18"/>
        <v>0</v>
      </c>
      <c r="L86" s="170">
        <f t="shared" si="18"/>
        <v>0</v>
      </c>
      <c r="M86" s="94">
        <f>H86-SUM(J86:L86)</f>
        <v>1E-8</v>
      </c>
    </row>
    <row r="87" spans="1:13" x14ac:dyDescent="0.2">
      <c r="A87" s="94" t="str">
        <f>$B$85&amp;B87</f>
        <v>OCO</v>
      </c>
      <c r="B87" s="94" t="s">
        <v>120</v>
      </c>
      <c r="C87" s="94" t="s">
        <v>121</v>
      </c>
      <c r="D87" s="94"/>
      <c r="G87" s="94"/>
      <c r="H87" s="94">
        <f>H65-H75-H81</f>
        <v>1E-8</v>
      </c>
      <c r="I87" s="94"/>
      <c r="J87" s="170">
        <f t="shared" si="18"/>
        <v>0</v>
      </c>
      <c r="K87" s="170">
        <f t="shared" si="18"/>
        <v>0</v>
      </c>
      <c r="L87" s="170">
        <f t="shared" si="18"/>
        <v>0</v>
      </c>
      <c r="M87" s="94">
        <f>H87-SUM(J87:L87)</f>
        <v>1E-8</v>
      </c>
    </row>
    <row r="88" spans="1:13" x14ac:dyDescent="0.2">
      <c r="A88" s="94" t="str">
        <f>$B$85&amp;B88</f>
        <v>OKP</v>
      </c>
      <c r="B88" s="94" t="s">
        <v>140</v>
      </c>
      <c r="C88" s="94" t="s">
        <v>108</v>
      </c>
      <c r="D88" s="94"/>
      <c r="G88" s="94"/>
      <c r="H88" s="94">
        <f>H66-H76-H82</f>
        <v>1E-8</v>
      </c>
      <c r="I88" s="94"/>
      <c r="J88" s="94">
        <f t="shared" ref="J88:L89" si="19">$H88/$I$67*J$67</f>
        <v>0</v>
      </c>
      <c r="K88" s="94">
        <f t="shared" si="19"/>
        <v>0</v>
      </c>
      <c r="L88" s="94">
        <f t="shared" si="19"/>
        <v>0</v>
      </c>
      <c r="M88" s="94">
        <f>H88-SUM(J88:L88)</f>
        <v>1E-8</v>
      </c>
    </row>
    <row r="89" spans="1:13" x14ac:dyDescent="0.2">
      <c r="A89" s="94" t="str">
        <f>$B$85&amp;B89</f>
        <v>OKO</v>
      </c>
      <c r="B89" s="94" t="s">
        <v>141</v>
      </c>
      <c r="C89" s="94" t="s">
        <v>109</v>
      </c>
      <c r="D89" s="94"/>
      <c r="G89" s="94"/>
      <c r="H89" s="94">
        <f>H67-H77-H83</f>
        <v>1E-8</v>
      </c>
      <c r="I89" s="94"/>
      <c r="J89" s="94">
        <f t="shared" si="19"/>
        <v>0</v>
      </c>
      <c r="K89" s="94">
        <f t="shared" si="19"/>
        <v>0</v>
      </c>
      <c r="L89" s="94">
        <f t="shared" si="19"/>
        <v>0</v>
      </c>
      <c r="M89" s="94">
        <f>H89-SUM(J89:L89)</f>
        <v>1E-8</v>
      </c>
    </row>
    <row r="90" spans="1:13" x14ac:dyDescent="0.2">
      <c r="B90" s="94"/>
      <c r="C90" s="94"/>
      <c r="D90" s="94"/>
      <c r="G90" s="94"/>
      <c r="H90" s="94"/>
      <c r="I90" s="94"/>
      <c r="J90" s="94"/>
      <c r="K90" s="94"/>
      <c r="L90" s="94"/>
    </row>
    <row r="91" spans="1:13" x14ac:dyDescent="0.2">
      <c r="B91" s="94"/>
      <c r="C91" s="94" t="s">
        <v>106</v>
      </c>
      <c r="D91" s="94"/>
      <c r="G91" s="169">
        <f>SUM(G73:G90)</f>
        <v>3.0000000000000004E-8</v>
      </c>
      <c r="H91" s="169">
        <f>SUM(H73:H90)</f>
        <v>4.0000000000000001E-8</v>
      </c>
      <c r="I91" s="169"/>
      <c r="J91" s="169">
        <f>SUM(J73:J90)</f>
        <v>0</v>
      </c>
      <c r="K91" s="169">
        <f>SUM(K73:K90)</f>
        <v>0</v>
      </c>
      <c r="L91" s="169">
        <f>SUM(L73:L90)</f>
        <v>0</v>
      </c>
      <c r="M91" s="169">
        <f>SUM(M73:M90)</f>
        <v>4.0000000000000001E-8</v>
      </c>
    </row>
    <row r="92" spans="1:13" x14ac:dyDescent="0.2">
      <c r="B92" s="94"/>
      <c r="C92" s="94" t="s">
        <v>132</v>
      </c>
      <c r="D92" s="94"/>
      <c r="G92" s="94">
        <f>G71-G91</f>
        <v>0</v>
      </c>
      <c r="H92" s="94">
        <f>H69-H91</f>
        <v>0</v>
      </c>
      <c r="I92" s="94"/>
      <c r="J92" s="94">
        <f>J69-J91</f>
        <v>0</v>
      </c>
      <c r="K92" s="94">
        <f>K69-K91</f>
        <v>0</v>
      </c>
      <c r="L92" s="94">
        <f>L69-L91</f>
        <v>0</v>
      </c>
    </row>
  </sheetData>
  <sheetProtection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5" right="0.5" top="0.75" bottom="0.75" header="0.5" footer="0.5"/>
  <pageSetup scale="56" orientation="portrait" r:id="rId1"/>
  <headerFooter alignWithMargins="0">
    <oddHeader>&amp;REnclosure 2</oddHeader>
    <oddFooter>&amp;LPage 10&amp;Rver 3 (12/2007)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">
    <pageSetUpPr fitToPage="1"/>
  </sheetPr>
  <dimension ref="A1:S59"/>
  <sheetViews>
    <sheetView zoomScale="80" zoomScaleNormal="80" workbookViewId="0">
      <selection activeCell="B1" sqref="B1:P1"/>
    </sheetView>
  </sheetViews>
  <sheetFormatPr defaultColWidth="0" defaultRowHeight="15" zeroHeight="1" x14ac:dyDescent="0.2"/>
  <cols>
    <col min="1" max="1" width="3.5703125" style="48" customWidth="1"/>
    <col min="2" max="3" width="3.7109375" style="48" customWidth="1"/>
    <col min="4" max="4" width="9.5703125" style="48" customWidth="1"/>
    <col min="5" max="5" width="3.7109375" style="48" customWidth="1"/>
    <col min="6" max="6" width="25.42578125" style="48" customWidth="1"/>
    <col min="7" max="7" width="18.42578125" style="48" customWidth="1"/>
    <col min="8" max="8" width="13.85546875" style="48" customWidth="1"/>
    <col min="9" max="9" width="17.42578125" style="48" customWidth="1"/>
    <col min="10" max="10" width="16.28515625" style="48" customWidth="1"/>
    <col min="11" max="11" width="17.5703125" style="48" customWidth="1"/>
    <col min="12" max="12" width="14.7109375" style="48" customWidth="1"/>
    <col min="13" max="13" width="18.7109375" style="48" customWidth="1"/>
    <col min="14" max="14" width="18.85546875" style="48" customWidth="1"/>
    <col min="15" max="15" width="18" style="48" customWidth="1"/>
    <col min="16" max="16" width="15.42578125" style="48" customWidth="1"/>
    <col min="17" max="19" width="12.7109375" hidden="1" customWidth="1"/>
  </cols>
  <sheetData>
    <row r="1" spans="1:19" ht="64.5" customHeight="1" x14ac:dyDescent="0.2">
      <c r="A1" s="74"/>
      <c r="B1" s="173" t="str">
        <f>'CSS Pgm 1'!B1:$P$1</f>
        <v>Annual Mental Health Services Act Revenue and Expenditure Report for Fiscal Year 2007-08
Community Services and Supports (CSS) Programs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9" ht="20.100000000000001" customHeight="1" x14ac:dyDescent="0.25">
      <c r="A2" s="74"/>
      <c r="B2" s="47" t="s">
        <v>28</v>
      </c>
      <c r="C2" s="47"/>
      <c r="D2" s="47"/>
      <c r="E2" s="184" t="str">
        <f>'CSS Pgm 1'!E2</f>
        <v>Santa Cruz</v>
      </c>
      <c r="F2" s="184"/>
      <c r="G2" s="74"/>
      <c r="H2" s="74"/>
      <c r="I2" s="74"/>
      <c r="J2" s="74"/>
      <c r="K2" s="74"/>
      <c r="L2" s="74"/>
      <c r="M2" s="74"/>
      <c r="N2" s="74"/>
      <c r="O2" s="49" t="s">
        <v>29</v>
      </c>
      <c r="P2" s="78"/>
    </row>
    <row r="3" spans="1:19" ht="20.100000000000001" customHeight="1" x14ac:dyDescent="0.25">
      <c r="A3" s="74"/>
      <c r="B3" s="47" t="s">
        <v>89</v>
      </c>
      <c r="C3" s="47"/>
      <c r="D3" s="47"/>
      <c r="E3" s="191"/>
      <c r="F3" s="191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s="3" customFormat="1" ht="15" customHeight="1" x14ac:dyDescent="0.25">
      <c r="A5" s="163"/>
      <c r="B5" s="174" t="s">
        <v>30</v>
      </c>
      <c r="C5" s="175"/>
      <c r="D5" s="175"/>
      <c r="E5" s="175"/>
      <c r="F5" s="176"/>
      <c r="G5" s="75" t="s">
        <v>19</v>
      </c>
      <c r="H5" s="101" t="s">
        <v>20</v>
      </c>
      <c r="I5" s="101" t="s">
        <v>27</v>
      </c>
      <c r="J5" s="101" t="s">
        <v>21</v>
      </c>
      <c r="K5" s="101" t="s">
        <v>22</v>
      </c>
      <c r="L5" s="101" t="s">
        <v>23</v>
      </c>
      <c r="M5" s="101" t="s">
        <v>24</v>
      </c>
      <c r="N5" s="101" t="s">
        <v>25</v>
      </c>
      <c r="O5" s="101" t="s">
        <v>26</v>
      </c>
      <c r="P5" s="101" t="s">
        <v>63</v>
      </c>
    </row>
    <row r="6" spans="1:19" s="3" customFormat="1" ht="21.75" customHeight="1" x14ac:dyDescent="0.25">
      <c r="A6" s="163"/>
      <c r="B6" s="177"/>
      <c r="C6" s="178"/>
      <c r="D6" s="178"/>
      <c r="E6" s="178"/>
      <c r="F6" s="179"/>
      <c r="G6" s="171" t="s">
        <v>6</v>
      </c>
      <c r="H6" s="201" t="s">
        <v>36</v>
      </c>
      <c r="I6" s="202"/>
      <c r="J6" s="202"/>
      <c r="K6" s="202"/>
      <c r="L6" s="202"/>
      <c r="M6" s="202"/>
      <c r="N6" s="202"/>
      <c r="O6" s="202"/>
      <c r="P6" s="203"/>
    </row>
    <row r="7" spans="1:19" s="1" customFormat="1" ht="42" customHeight="1" x14ac:dyDescent="0.2">
      <c r="A7" s="164"/>
      <c r="B7" s="180"/>
      <c r="C7" s="181"/>
      <c r="D7" s="181"/>
      <c r="E7" s="181"/>
      <c r="F7" s="182"/>
      <c r="G7" s="172"/>
      <c r="H7" s="119" t="s">
        <v>0</v>
      </c>
      <c r="I7" s="119" t="s">
        <v>35</v>
      </c>
      <c r="J7" s="119" t="s">
        <v>18</v>
      </c>
      <c r="K7" s="119" t="s">
        <v>1</v>
      </c>
      <c r="L7" s="119" t="s">
        <v>15</v>
      </c>
      <c r="M7" s="119" t="s">
        <v>16</v>
      </c>
      <c r="N7" s="119" t="s">
        <v>2</v>
      </c>
      <c r="O7" s="119" t="s">
        <v>17</v>
      </c>
      <c r="P7" s="97" t="s">
        <v>62</v>
      </c>
      <c r="Q7" s="2"/>
      <c r="R7" s="2"/>
      <c r="S7" s="2"/>
    </row>
    <row r="8" spans="1:19" ht="15" customHeight="1" x14ac:dyDescent="0.25">
      <c r="B8" s="86" t="s">
        <v>88</v>
      </c>
      <c r="C8" s="87"/>
      <c r="D8" s="87"/>
      <c r="E8" s="87"/>
      <c r="F8" s="88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9" ht="15" customHeight="1" x14ac:dyDescent="0.2">
      <c r="B9" s="60"/>
      <c r="C9" s="211" t="s">
        <v>86</v>
      </c>
      <c r="D9" s="211"/>
      <c r="E9" s="211"/>
      <c r="F9" s="212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9" ht="15" customHeight="1" x14ac:dyDescent="0.2">
      <c r="B10" s="60"/>
      <c r="C10" s="52"/>
      <c r="D10" s="52" t="s">
        <v>3</v>
      </c>
      <c r="E10" s="52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9" ht="15" customHeight="1" x14ac:dyDescent="0.2">
      <c r="B11" s="60"/>
      <c r="C11" s="52"/>
      <c r="D11" s="52"/>
      <c r="E11" s="52" t="s">
        <v>10</v>
      </c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9" ht="15" customHeight="1" x14ac:dyDescent="0.2">
      <c r="B12" s="60"/>
      <c r="C12" s="52"/>
      <c r="D12" s="52"/>
      <c r="E12" s="52" t="s">
        <v>11</v>
      </c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9" ht="15" customHeight="1" x14ac:dyDescent="0.2">
      <c r="B13" s="60"/>
      <c r="C13" s="52"/>
      <c r="D13" s="52"/>
      <c r="E13" s="52" t="s">
        <v>37</v>
      </c>
      <c r="F13" s="53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19" ht="15" customHeight="1" x14ac:dyDescent="0.2">
      <c r="B14" s="60"/>
      <c r="C14" s="52"/>
      <c r="D14" s="52"/>
      <c r="E14" s="52" t="s">
        <v>4</v>
      </c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9" ht="15" customHeight="1" x14ac:dyDescent="0.2">
      <c r="B15" s="60"/>
      <c r="C15" s="52"/>
      <c r="D15" s="52" t="s">
        <v>7</v>
      </c>
      <c r="E15" s="52"/>
      <c r="F15" s="53"/>
      <c r="G15" s="54">
        <f t="shared" ref="G15:P15" si="0">SUM(G11:G14)</f>
        <v>0</v>
      </c>
      <c r="H15" s="54">
        <f t="shared" si="0"/>
        <v>0</v>
      </c>
      <c r="I15" s="54">
        <f t="shared" si="0"/>
        <v>0</v>
      </c>
      <c r="J15" s="54">
        <f t="shared" si="0"/>
        <v>0</v>
      </c>
      <c r="K15" s="54">
        <f t="shared" si="0"/>
        <v>0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54">
        <f t="shared" si="0"/>
        <v>0</v>
      </c>
    </row>
    <row r="16" spans="1:19" ht="15" customHeight="1" x14ac:dyDescent="0.2">
      <c r="B16" s="60"/>
      <c r="C16" s="52"/>
      <c r="D16" s="52" t="s">
        <v>5</v>
      </c>
      <c r="E16" s="52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2:16" ht="15" customHeight="1" x14ac:dyDescent="0.2">
      <c r="B17" s="60"/>
      <c r="C17" s="52"/>
      <c r="D17" s="52"/>
      <c r="E17" s="52" t="s">
        <v>10</v>
      </c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2:16" ht="15" customHeight="1" x14ac:dyDescent="0.2">
      <c r="B18" s="60"/>
      <c r="C18" s="52"/>
      <c r="D18" s="52"/>
      <c r="E18" s="52" t="s">
        <v>11</v>
      </c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2:16" ht="15" customHeight="1" x14ac:dyDescent="0.2">
      <c r="B19" s="60"/>
      <c r="C19" s="52"/>
      <c r="D19" s="52"/>
      <c r="E19" s="52" t="s">
        <v>37</v>
      </c>
      <c r="F19" s="53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2:16" ht="15" customHeight="1" x14ac:dyDescent="0.2">
      <c r="B20" s="60"/>
      <c r="C20" s="52"/>
      <c r="D20" s="52"/>
      <c r="E20" s="52" t="s">
        <v>4</v>
      </c>
      <c r="F20" s="53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2:16" ht="15" customHeight="1" x14ac:dyDescent="0.2">
      <c r="B21" s="60"/>
      <c r="C21" s="52"/>
      <c r="D21" s="52" t="s">
        <v>8</v>
      </c>
      <c r="E21" s="52"/>
      <c r="F21" s="53"/>
      <c r="G21" s="54">
        <f t="shared" ref="G21:P21" si="1">SUM(G17:G20)</f>
        <v>0</v>
      </c>
      <c r="H21" s="54">
        <f t="shared" si="1"/>
        <v>0</v>
      </c>
      <c r="I21" s="54">
        <f t="shared" si="1"/>
        <v>0</v>
      </c>
      <c r="J21" s="54">
        <f t="shared" si="1"/>
        <v>0</v>
      </c>
      <c r="K21" s="54">
        <f t="shared" si="1"/>
        <v>0</v>
      </c>
      <c r="L21" s="54">
        <f t="shared" si="1"/>
        <v>0</v>
      </c>
      <c r="M21" s="54">
        <f t="shared" si="1"/>
        <v>0</v>
      </c>
      <c r="N21" s="54">
        <f t="shared" si="1"/>
        <v>0</v>
      </c>
      <c r="O21" s="54">
        <f t="shared" si="1"/>
        <v>0</v>
      </c>
      <c r="P21" s="54">
        <f t="shared" si="1"/>
        <v>0</v>
      </c>
    </row>
    <row r="22" spans="2:16" ht="15" customHeight="1" x14ac:dyDescent="0.2">
      <c r="B22" s="55"/>
      <c r="C22" s="56" t="s">
        <v>9</v>
      </c>
      <c r="D22" s="56"/>
      <c r="E22" s="56"/>
      <c r="F22" s="57"/>
      <c r="G22" s="58">
        <f t="shared" ref="G22:P22" si="2">G15+G21</f>
        <v>0</v>
      </c>
      <c r="H22" s="58">
        <f t="shared" si="2"/>
        <v>0</v>
      </c>
      <c r="I22" s="58">
        <f t="shared" si="2"/>
        <v>0</v>
      </c>
      <c r="J22" s="58">
        <f t="shared" si="2"/>
        <v>0</v>
      </c>
      <c r="K22" s="58">
        <f t="shared" si="2"/>
        <v>0</v>
      </c>
      <c r="L22" s="58">
        <f t="shared" si="2"/>
        <v>0</v>
      </c>
      <c r="M22" s="58">
        <f t="shared" si="2"/>
        <v>0</v>
      </c>
      <c r="N22" s="58">
        <f t="shared" si="2"/>
        <v>0</v>
      </c>
      <c r="O22" s="58">
        <f t="shared" si="2"/>
        <v>0</v>
      </c>
      <c r="P22" s="58">
        <f t="shared" si="2"/>
        <v>0</v>
      </c>
    </row>
    <row r="23" spans="2:16" ht="15" customHeight="1" x14ac:dyDescent="0.2">
      <c r="B23" s="60"/>
      <c r="C23" s="213" t="s">
        <v>79</v>
      </c>
      <c r="D23" s="213"/>
      <c r="E23" s="213"/>
      <c r="F23" s="21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2:16" ht="15" customHeight="1" x14ac:dyDescent="0.2">
      <c r="B24" s="60"/>
      <c r="C24" s="52"/>
      <c r="D24" s="52" t="s">
        <v>31</v>
      </c>
      <c r="E24" s="52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2:16" ht="15" customHeight="1" x14ac:dyDescent="0.2">
      <c r="B25" s="60"/>
      <c r="C25" s="52"/>
      <c r="D25" s="52"/>
      <c r="E25" s="52" t="s">
        <v>3</v>
      </c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2:16" ht="15" customHeight="1" x14ac:dyDescent="0.2">
      <c r="B26" s="60"/>
      <c r="C26" s="52"/>
      <c r="D26" s="52"/>
      <c r="E26" s="52"/>
      <c r="F26" s="53" t="s">
        <v>37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2:16" ht="15" customHeight="1" x14ac:dyDescent="0.2">
      <c r="B27" s="60"/>
      <c r="C27" s="52"/>
      <c r="D27" s="52"/>
      <c r="E27" s="52"/>
      <c r="F27" s="53" t="s">
        <v>4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2:16" ht="15" customHeight="1" x14ac:dyDescent="0.2">
      <c r="B28" s="60"/>
      <c r="C28" s="52"/>
      <c r="D28" s="52"/>
      <c r="E28" s="52" t="s">
        <v>7</v>
      </c>
      <c r="F28" s="53"/>
      <c r="G28" s="54">
        <f t="shared" ref="G28:P28" si="3">SUM(G26:G27)</f>
        <v>0</v>
      </c>
      <c r="H28" s="54">
        <f t="shared" si="3"/>
        <v>0</v>
      </c>
      <c r="I28" s="54">
        <f t="shared" si="3"/>
        <v>0</v>
      </c>
      <c r="J28" s="54">
        <f t="shared" si="3"/>
        <v>0</v>
      </c>
      <c r="K28" s="54">
        <f t="shared" si="3"/>
        <v>0</v>
      </c>
      <c r="L28" s="54">
        <f t="shared" si="3"/>
        <v>0</v>
      </c>
      <c r="M28" s="54">
        <f t="shared" si="3"/>
        <v>0</v>
      </c>
      <c r="N28" s="54">
        <f t="shared" si="3"/>
        <v>0</v>
      </c>
      <c r="O28" s="54">
        <f t="shared" si="3"/>
        <v>0</v>
      </c>
      <c r="P28" s="54">
        <f t="shared" si="3"/>
        <v>0</v>
      </c>
    </row>
    <row r="29" spans="2:16" ht="15" customHeight="1" x14ac:dyDescent="0.2">
      <c r="B29" s="60"/>
      <c r="C29" s="52"/>
      <c r="D29" s="52"/>
      <c r="E29" s="52" t="s">
        <v>5</v>
      </c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2:16" ht="15" customHeight="1" x14ac:dyDescent="0.2">
      <c r="B30" s="60"/>
      <c r="C30" s="52"/>
      <c r="D30" s="52"/>
      <c r="E30" s="52"/>
      <c r="F30" s="53" t="s">
        <v>37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2:16" ht="15" customHeight="1" x14ac:dyDescent="0.2">
      <c r="B31" s="60"/>
      <c r="C31" s="52"/>
      <c r="D31" s="52"/>
      <c r="E31" s="52"/>
      <c r="F31" s="53" t="s">
        <v>4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2:16" ht="15" customHeight="1" x14ac:dyDescent="0.2">
      <c r="B32" s="60"/>
      <c r="C32" s="52"/>
      <c r="D32" s="52"/>
      <c r="E32" s="52" t="s">
        <v>8</v>
      </c>
      <c r="F32" s="53"/>
      <c r="G32" s="54">
        <f t="shared" ref="G32:P32" si="4">SUM(G30:G31)</f>
        <v>0</v>
      </c>
      <c r="H32" s="54">
        <f t="shared" si="4"/>
        <v>0</v>
      </c>
      <c r="I32" s="54">
        <f t="shared" si="4"/>
        <v>0</v>
      </c>
      <c r="J32" s="54">
        <f t="shared" si="4"/>
        <v>0</v>
      </c>
      <c r="K32" s="54">
        <f t="shared" si="4"/>
        <v>0</v>
      </c>
      <c r="L32" s="54">
        <f t="shared" si="4"/>
        <v>0</v>
      </c>
      <c r="M32" s="54">
        <f t="shared" si="4"/>
        <v>0</v>
      </c>
      <c r="N32" s="54">
        <f t="shared" si="4"/>
        <v>0</v>
      </c>
      <c r="O32" s="54">
        <f t="shared" si="4"/>
        <v>0</v>
      </c>
      <c r="P32" s="54">
        <f t="shared" si="4"/>
        <v>0</v>
      </c>
    </row>
    <row r="33" spans="2:16" ht="15" customHeight="1" x14ac:dyDescent="0.2">
      <c r="B33" s="60"/>
      <c r="C33" s="52"/>
      <c r="D33" s="52" t="s">
        <v>32</v>
      </c>
      <c r="E33" s="52"/>
      <c r="F33" s="53"/>
      <c r="G33" s="54">
        <f t="shared" ref="G33:P33" si="5">G28+G32</f>
        <v>0</v>
      </c>
      <c r="H33" s="54">
        <f t="shared" si="5"/>
        <v>0</v>
      </c>
      <c r="I33" s="54">
        <f t="shared" si="5"/>
        <v>0</v>
      </c>
      <c r="J33" s="54">
        <f t="shared" si="5"/>
        <v>0</v>
      </c>
      <c r="K33" s="54">
        <f t="shared" si="5"/>
        <v>0</v>
      </c>
      <c r="L33" s="54">
        <f t="shared" si="5"/>
        <v>0</v>
      </c>
      <c r="M33" s="54">
        <f t="shared" si="5"/>
        <v>0</v>
      </c>
      <c r="N33" s="54">
        <f t="shared" si="5"/>
        <v>0</v>
      </c>
      <c r="O33" s="54">
        <f t="shared" si="5"/>
        <v>0</v>
      </c>
      <c r="P33" s="54">
        <f t="shared" si="5"/>
        <v>0</v>
      </c>
    </row>
    <row r="34" spans="2:16" ht="15" customHeight="1" x14ac:dyDescent="0.2">
      <c r="B34" s="60"/>
      <c r="C34" s="52"/>
      <c r="D34" s="52" t="s">
        <v>33</v>
      </c>
      <c r="E34" s="52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2:16" ht="15" customHeight="1" x14ac:dyDescent="0.2">
      <c r="B35" s="60"/>
      <c r="C35" s="52"/>
      <c r="D35" s="52"/>
      <c r="E35" s="52" t="s">
        <v>3</v>
      </c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2:16" ht="15" customHeight="1" x14ac:dyDescent="0.2">
      <c r="B36" s="60"/>
      <c r="C36" s="52"/>
      <c r="D36" s="52"/>
      <c r="E36" s="52"/>
      <c r="F36" s="53" t="s">
        <v>37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2:16" ht="15" customHeight="1" x14ac:dyDescent="0.2">
      <c r="B37" s="60"/>
      <c r="C37" s="52"/>
      <c r="D37" s="52"/>
      <c r="E37" s="52"/>
      <c r="F37" s="53" t="s">
        <v>4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2:16" ht="15" customHeight="1" x14ac:dyDescent="0.2">
      <c r="B38" s="60"/>
      <c r="C38" s="52"/>
      <c r="D38" s="52"/>
      <c r="E38" s="52" t="s">
        <v>7</v>
      </c>
      <c r="F38" s="53"/>
      <c r="G38" s="54">
        <f t="shared" ref="G38:P38" si="6">SUM(G36:G37)</f>
        <v>0</v>
      </c>
      <c r="H38" s="54">
        <f t="shared" si="6"/>
        <v>0</v>
      </c>
      <c r="I38" s="54">
        <f t="shared" si="6"/>
        <v>0</v>
      </c>
      <c r="J38" s="54">
        <f t="shared" si="6"/>
        <v>0</v>
      </c>
      <c r="K38" s="54">
        <f t="shared" si="6"/>
        <v>0</v>
      </c>
      <c r="L38" s="54">
        <f t="shared" si="6"/>
        <v>0</v>
      </c>
      <c r="M38" s="54">
        <f t="shared" si="6"/>
        <v>0</v>
      </c>
      <c r="N38" s="54">
        <f t="shared" si="6"/>
        <v>0</v>
      </c>
      <c r="O38" s="54">
        <f t="shared" si="6"/>
        <v>0</v>
      </c>
      <c r="P38" s="54">
        <f t="shared" si="6"/>
        <v>0</v>
      </c>
    </row>
    <row r="39" spans="2:16" ht="15" customHeight="1" x14ac:dyDescent="0.2">
      <c r="B39" s="60"/>
      <c r="C39" s="52"/>
      <c r="D39" s="52"/>
      <c r="E39" s="52" t="s">
        <v>5</v>
      </c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2:16" ht="15" customHeight="1" x14ac:dyDescent="0.2">
      <c r="B40" s="60"/>
      <c r="C40" s="52"/>
      <c r="D40" s="52"/>
      <c r="E40" s="52"/>
      <c r="F40" s="53" t="s">
        <v>37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2:16" ht="15" customHeight="1" x14ac:dyDescent="0.2">
      <c r="B41" s="60"/>
      <c r="C41" s="52"/>
      <c r="D41" s="52"/>
      <c r="E41" s="52"/>
      <c r="F41" s="53" t="s">
        <v>4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2:16" ht="15" customHeight="1" x14ac:dyDescent="0.2">
      <c r="B42" s="60"/>
      <c r="C42" s="52"/>
      <c r="D42" s="52"/>
      <c r="E42" s="52" t="s">
        <v>8</v>
      </c>
      <c r="F42" s="53"/>
      <c r="G42" s="54">
        <f t="shared" ref="G42:P42" si="7">SUM(G40:G41)</f>
        <v>0</v>
      </c>
      <c r="H42" s="54">
        <f t="shared" si="7"/>
        <v>0</v>
      </c>
      <c r="I42" s="54">
        <f t="shared" si="7"/>
        <v>0</v>
      </c>
      <c r="J42" s="54">
        <f t="shared" si="7"/>
        <v>0</v>
      </c>
      <c r="K42" s="54">
        <f t="shared" si="7"/>
        <v>0</v>
      </c>
      <c r="L42" s="54">
        <f t="shared" si="7"/>
        <v>0</v>
      </c>
      <c r="M42" s="54">
        <f t="shared" si="7"/>
        <v>0</v>
      </c>
      <c r="N42" s="54">
        <f t="shared" si="7"/>
        <v>0</v>
      </c>
      <c r="O42" s="54">
        <f t="shared" si="7"/>
        <v>0</v>
      </c>
      <c r="P42" s="54">
        <f t="shared" si="7"/>
        <v>0</v>
      </c>
    </row>
    <row r="43" spans="2:16" ht="15" customHeight="1" x14ac:dyDescent="0.2">
      <c r="B43" s="60"/>
      <c r="C43" s="52"/>
      <c r="D43" s="52" t="s">
        <v>34</v>
      </c>
      <c r="E43" s="52"/>
      <c r="F43" s="53"/>
      <c r="G43" s="54">
        <f t="shared" ref="G43:P43" si="8">G38+G42</f>
        <v>0</v>
      </c>
      <c r="H43" s="54">
        <f t="shared" si="8"/>
        <v>0</v>
      </c>
      <c r="I43" s="54">
        <f t="shared" si="8"/>
        <v>0</v>
      </c>
      <c r="J43" s="54">
        <f t="shared" si="8"/>
        <v>0</v>
      </c>
      <c r="K43" s="54">
        <f t="shared" si="8"/>
        <v>0</v>
      </c>
      <c r="L43" s="54">
        <f t="shared" si="8"/>
        <v>0</v>
      </c>
      <c r="M43" s="54">
        <f t="shared" si="8"/>
        <v>0</v>
      </c>
      <c r="N43" s="54">
        <f t="shared" si="8"/>
        <v>0</v>
      </c>
      <c r="O43" s="54">
        <f t="shared" si="8"/>
        <v>0</v>
      </c>
      <c r="P43" s="54">
        <f t="shared" si="8"/>
        <v>0</v>
      </c>
    </row>
    <row r="44" spans="2:16" ht="15" customHeight="1" x14ac:dyDescent="0.2">
      <c r="B44" s="55"/>
      <c r="C44" s="56" t="s">
        <v>80</v>
      </c>
      <c r="D44" s="56"/>
      <c r="E44" s="56"/>
      <c r="F44" s="57"/>
      <c r="G44" s="58">
        <f t="shared" ref="G44:P44" si="9">G33+G43</f>
        <v>0</v>
      </c>
      <c r="H44" s="58">
        <f t="shared" si="9"/>
        <v>0</v>
      </c>
      <c r="I44" s="58">
        <f t="shared" si="9"/>
        <v>0</v>
      </c>
      <c r="J44" s="58">
        <f t="shared" si="9"/>
        <v>0</v>
      </c>
      <c r="K44" s="58">
        <f t="shared" si="9"/>
        <v>0</v>
      </c>
      <c r="L44" s="58">
        <f t="shared" si="9"/>
        <v>0</v>
      </c>
      <c r="M44" s="58">
        <f t="shared" si="9"/>
        <v>0</v>
      </c>
      <c r="N44" s="58">
        <f t="shared" si="9"/>
        <v>0</v>
      </c>
      <c r="O44" s="58">
        <f t="shared" si="9"/>
        <v>0</v>
      </c>
      <c r="P44" s="58">
        <f t="shared" si="9"/>
        <v>0</v>
      </c>
    </row>
    <row r="45" spans="2:16" ht="15" customHeight="1" x14ac:dyDescent="0.2">
      <c r="B45" s="60"/>
      <c r="C45" s="209" t="s">
        <v>12</v>
      </c>
      <c r="D45" s="209"/>
      <c r="E45" s="209"/>
      <c r="F45" s="210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2:16" ht="15" customHeight="1" x14ac:dyDescent="0.2">
      <c r="B46" s="60"/>
      <c r="C46" s="52"/>
      <c r="D46" s="52" t="s">
        <v>3</v>
      </c>
      <c r="E46" s="52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2:16" ht="15" customHeight="1" x14ac:dyDescent="0.2">
      <c r="B47" s="60"/>
      <c r="C47" s="52"/>
      <c r="D47" s="52"/>
      <c r="E47" s="52" t="s">
        <v>10</v>
      </c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2:16" ht="15" customHeight="1" x14ac:dyDescent="0.2">
      <c r="B48" s="60"/>
      <c r="C48" s="52"/>
      <c r="D48" s="52"/>
      <c r="E48" s="52" t="s">
        <v>11</v>
      </c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2:16" ht="15" customHeight="1" x14ac:dyDescent="0.2">
      <c r="B49" s="60"/>
      <c r="C49" s="52"/>
      <c r="D49" s="52"/>
      <c r="E49" s="52" t="s">
        <v>37</v>
      </c>
      <c r="F49" s="53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2:16" ht="15" customHeight="1" x14ac:dyDescent="0.2">
      <c r="B50" s="60"/>
      <c r="C50" s="52"/>
      <c r="D50" s="52"/>
      <c r="E50" s="52" t="s">
        <v>4</v>
      </c>
      <c r="F50" s="53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2:16" ht="15" customHeight="1" x14ac:dyDescent="0.2">
      <c r="B51" s="60"/>
      <c r="C51" s="52"/>
      <c r="D51" s="52" t="s">
        <v>7</v>
      </c>
      <c r="E51" s="52"/>
      <c r="F51" s="53"/>
      <c r="G51" s="54">
        <f t="shared" ref="G51:P51" si="10">SUM(G47:G50)</f>
        <v>0</v>
      </c>
      <c r="H51" s="54">
        <f t="shared" si="10"/>
        <v>0</v>
      </c>
      <c r="I51" s="54">
        <f t="shared" si="10"/>
        <v>0</v>
      </c>
      <c r="J51" s="54">
        <f t="shared" si="10"/>
        <v>0</v>
      </c>
      <c r="K51" s="54">
        <f t="shared" si="10"/>
        <v>0</v>
      </c>
      <c r="L51" s="54">
        <f t="shared" si="10"/>
        <v>0</v>
      </c>
      <c r="M51" s="54">
        <f t="shared" si="10"/>
        <v>0</v>
      </c>
      <c r="N51" s="54">
        <f t="shared" si="10"/>
        <v>0</v>
      </c>
      <c r="O51" s="54">
        <f t="shared" si="10"/>
        <v>0</v>
      </c>
      <c r="P51" s="54">
        <f t="shared" si="10"/>
        <v>0</v>
      </c>
    </row>
    <row r="52" spans="2:16" ht="15" customHeight="1" x14ac:dyDescent="0.2">
      <c r="B52" s="60"/>
      <c r="C52" s="52"/>
      <c r="D52" s="52" t="s">
        <v>5</v>
      </c>
      <c r="E52" s="52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2:16" ht="15" customHeight="1" x14ac:dyDescent="0.2">
      <c r="B53" s="60"/>
      <c r="C53" s="52"/>
      <c r="D53" s="52"/>
      <c r="E53" s="52" t="s">
        <v>10</v>
      </c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2:16" ht="15" customHeight="1" x14ac:dyDescent="0.2">
      <c r="B54" s="60"/>
      <c r="C54" s="52"/>
      <c r="D54" s="52"/>
      <c r="E54" s="52" t="s">
        <v>11</v>
      </c>
      <c r="F54" s="53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2:16" ht="15" customHeight="1" x14ac:dyDescent="0.2">
      <c r="B55" s="60"/>
      <c r="C55" s="52"/>
      <c r="D55" s="52"/>
      <c r="E55" s="52" t="s">
        <v>37</v>
      </c>
      <c r="F55" s="53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2:16" ht="15" customHeight="1" x14ac:dyDescent="0.2">
      <c r="B56" s="60"/>
      <c r="C56" s="52"/>
      <c r="D56" s="52"/>
      <c r="E56" s="52" t="s">
        <v>4</v>
      </c>
      <c r="F56" s="53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2:16" ht="15" customHeight="1" x14ac:dyDescent="0.2">
      <c r="B57" s="60"/>
      <c r="C57" s="52"/>
      <c r="D57" s="52" t="s">
        <v>8</v>
      </c>
      <c r="E57" s="52"/>
      <c r="F57" s="53"/>
      <c r="G57" s="54">
        <f t="shared" ref="G57:P57" si="11">SUM(G53:G56)</f>
        <v>0</v>
      </c>
      <c r="H57" s="54">
        <f t="shared" si="11"/>
        <v>0</v>
      </c>
      <c r="I57" s="54">
        <f t="shared" si="11"/>
        <v>0</v>
      </c>
      <c r="J57" s="54">
        <f t="shared" si="11"/>
        <v>0</v>
      </c>
      <c r="K57" s="54">
        <f t="shared" si="11"/>
        <v>0</v>
      </c>
      <c r="L57" s="54">
        <f t="shared" si="11"/>
        <v>0</v>
      </c>
      <c r="M57" s="54">
        <f t="shared" si="11"/>
        <v>0</v>
      </c>
      <c r="N57" s="54">
        <f t="shared" si="11"/>
        <v>0</v>
      </c>
      <c r="O57" s="54">
        <f t="shared" si="11"/>
        <v>0</v>
      </c>
      <c r="P57" s="54">
        <f t="shared" si="11"/>
        <v>0</v>
      </c>
    </row>
    <row r="58" spans="2:16" ht="15" customHeight="1" x14ac:dyDescent="0.2">
      <c r="B58" s="55"/>
      <c r="C58" s="56" t="s">
        <v>13</v>
      </c>
      <c r="D58" s="56"/>
      <c r="E58" s="56"/>
      <c r="F58" s="57"/>
      <c r="G58" s="58">
        <f t="shared" ref="G58:P58" si="12">G57+G51</f>
        <v>0</v>
      </c>
      <c r="H58" s="58">
        <f t="shared" si="12"/>
        <v>0</v>
      </c>
      <c r="I58" s="58">
        <f t="shared" si="12"/>
        <v>0</v>
      </c>
      <c r="J58" s="58">
        <f t="shared" si="12"/>
        <v>0</v>
      </c>
      <c r="K58" s="58">
        <f t="shared" si="12"/>
        <v>0</v>
      </c>
      <c r="L58" s="58">
        <f t="shared" si="12"/>
        <v>0</v>
      </c>
      <c r="M58" s="58">
        <f t="shared" si="12"/>
        <v>0</v>
      </c>
      <c r="N58" s="58">
        <f t="shared" si="12"/>
        <v>0</v>
      </c>
      <c r="O58" s="58">
        <f t="shared" si="12"/>
        <v>0</v>
      </c>
      <c r="P58" s="58">
        <f t="shared" si="12"/>
        <v>0</v>
      </c>
    </row>
    <row r="59" spans="2:16" ht="15" customHeight="1" x14ac:dyDescent="0.25">
      <c r="B59" s="117" t="s">
        <v>102</v>
      </c>
      <c r="C59" s="105"/>
      <c r="D59" s="105"/>
      <c r="E59" s="105"/>
      <c r="F59" s="106"/>
      <c r="G59" s="107">
        <f t="shared" ref="G59:P59" si="13">G22+G44+G58</f>
        <v>0</v>
      </c>
      <c r="H59" s="107">
        <f t="shared" si="13"/>
        <v>0</v>
      </c>
      <c r="I59" s="107">
        <f t="shared" si="13"/>
        <v>0</v>
      </c>
      <c r="J59" s="107">
        <f t="shared" si="13"/>
        <v>0</v>
      </c>
      <c r="K59" s="107">
        <f t="shared" si="13"/>
        <v>0</v>
      </c>
      <c r="L59" s="107">
        <f t="shared" si="13"/>
        <v>0</v>
      </c>
      <c r="M59" s="107">
        <f t="shared" si="13"/>
        <v>0</v>
      </c>
      <c r="N59" s="107">
        <f t="shared" si="13"/>
        <v>0</v>
      </c>
      <c r="O59" s="107">
        <f t="shared" si="13"/>
        <v>0</v>
      </c>
      <c r="P59" s="107">
        <f t="shared" si="13"/>
        <v>0</v>
      </c>
    </row>
  </sheetData>
  <sheetProtection sheet="1"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11&amp;Rver 3 (12/2007)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2">
    <pageSetUpPr fitToPage="1"/>
  </sheetPr>
  <dimension ref="A1:S59"/>
  <sheetViews>
    <sheetView zoomScale="80" zoomScaleNormal="80" workbookViewId="0">
      <selection activeCell="B1" sqref="B1:P1"/>
    </sheetView>
  </sheetViews>
  <sheetFormatPr defaultColWidth="0" defaultRowHeight="15" zeroHeight="1" x14ac:dyDescent="0.2"/>
  <cols>
    <col min="1" max="1" width="2.5703125" style="48" customWidth="1"/>
    <col min="2" max="3" width="3.7109375" style="48" customWidth="1"/>
    <col min="4" max="4" width="9.140625" style="48" customWidth="1"/>
    <col min="5" max="5" width="3.7109375" style="48" customWidth="1"/>
    <col min="6" max="6" width="27.5703125" style="48" customWidth="1"/>
    <col min="7" max="7" width="17.140625" style="48" customWidth="1"/>
    <col min="8" max="8" width="13.85546875" style="48" customWidth="1"/>
    <col min="9" max="9" width="15" style="48" customWidth="1"/>
    <col min="10" max="10" width="14.7109375" style="48" customWidth="1"/>
    <col min="11" max="11" width="14" style="48" customWidth="1"/>
    <col min="12" max="12" width="16.140625" style="48" customWidth="1"/>
    <col min="13" max="13" width="18.7109375" style="48" customWidth="1"/>
    <col min="14" max="14" width="21.140625" style="48" customWidth="1"/>
    <col min="15" max="15" width="17.42578125" style="48" customWidth="1"/>
    <col min="16" max="16" width="12.7109375" style="48" customWidth="1"/>
    <col min="17" max="19" width="12.7109375" hidden="1" customWidth="1"/>
  </cols>
  <sheetData>
    <row r="1" spans="1:19" ht="45" customHeight="1" x14ac:dyDescent="0.2">
      <c r="A1" s="74"/>
      <c r="B1" s="173" t="str">
        <f>'CSS Pgm 1'!B1:$P$1</f>
        <v>Annual Mental Health Services Act Revenue and Expenditure Report for Fiscal Year 2007-08
Community Services and Supports (CSS) Programs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9" ht="20.100000000000001" customHeight="1" x14ac:dyDescent="0.25">
      <c r="A2" s="74"/>
      <c r="B2" s="47" t="s">
        <v>28</v>
      </c>
      <c r="C2" s="47"/>
      <c r="D2" s="47"/>
      <c r="E2" s="184" t="str">
        <f>'CSS Pgm 1'!E2:F2</f>
        <v>Santa Cruz</v>
      </c>
      <c r="F2" s="184"/>
      <c r="G2" s="74"/>
      <c r="H2" s="74"/>
      <c r="I2" s="74"/>
      <c r="J2" s="74"/>
      <c r="K2" s="74"/>
      <c r="L2" s="74"/>
      <c r="M2" s="74"/>
      <c r="N2" s="74"/>
      <c r="O2" s="49" t="s">
        <v>29</v>
      </c>
      <c r="P2" s="78"/>
    </row>
    <row r="3" spans="1:19" ht="20.100000000000001" customHeight="1" x14ac:dyDescent="0.25">
      <c r="A3" s="74"/>
      <c r="B3" s="47" t="s">
        <v>90</v>
      </c>
      <c r="C3" s="47"/>
      <c r="D3" s="47"/>
      <c r="E3" s="191"/>
      <c r="F3" s="191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s="3" customFormat="1" ht="15" customHeight="1" x14ac:dyDescent="0.25">
      <c r="A5" s="163"/>
      <c r="B5" s="174" t="s">
        <v>30</v>
      </c>
      <c r="C5" s="175"/>
      <c r="D5" s="175"/>
      <c r="E5" s="175"/>
      <c r="F5" s="176"/>
      <c r="G5" s="75" t="s">
        <v>19</v>
      </c>
      <c r="H5" s="101" t="s">
        <v>20</v>
      </c>
      <c r="I5" s="101" t="s">
        <v>27</v>
      </c>
      <c r="J5" s="101" t="s">
        <v>21</v>
      </c>
      <c r="K5" s="101" t="s">
        <v>22</v>
      </c>
      <c r="L5" s="101" t="s">
        <v>23</v>
      </c>
      <c r="M5" s="101" t="s">
        <v>24</v>
      </c>
      <c r="N5" s="101" t="s">
        <v>25</v>
      </c>
      <c r="O5" s="101" t="s">
        <v>26</v>
      </c>
      <c r="P5" s="101" t="s">
        <v>63</v>
      </c>
    </row>
    <row r="6" spans="1:19" s="3" customFormat="1" ht="19.5" customHeight="1" x14ac:dyDescent="0.25">
      <c r="A6" s="163"/>
      <c r="B6" s="177"/>
      <c r="C6" s="178"/>
      <c r="D6" s="178"/>
      <c r="E6" s="178"/>
      <c r="F6" s="179"/>
      <c r="G6" s="171" t="s">
        <v>6</v>
      </c>
      <c r="H6" s="201" t="s">
        <v>36</v>
      </c>
      <c r="I6" s="202"/>
      <c r="J6" s="202"/>
      <c r="K6" s="202"/>
      <c r="L6" s="202"/>
      <c r="M6" s="202"/>
      <c r="N6" s="202"/>
      <c r="O6" s="202"/>
      <c r="P6" s="203"/>
    </row>
    <row r="7" spans="1:19" s="1" customFormat="1" ht="64.5" customHeight="1" x14ac:dyDescent="0.2">
      <c r="A7" s="164"/>
      <c r="B7" s="180"/>
      <c r="C7" s="181"/>
      <c r="D7" s="181"/>
      <c r="E7" s="181"/>
      <c r="F7" s="182"/>
      <c r="G7" s="172"/>
      <c r="H7" s="119" t="s">
        <v>0</v>
      </c>
      <c r="I7" s="119" t="s">
        <v>35</v>
      </c>
      <c r="J7" s="119" t="s">
        <v>18</v>
      </c>
      <c r="K7" s="119" t="s">
        <v>1</v>
      </c>
      <c r="L7" s="119" t="s">
        <v>15</v>
      </c>
      <c r="M7" s="119" t="s">
        <v>16</v>
      </c>
      <c r="N7" s="119" t="s">
        <v>2</v>
      </c>
      <c r="O7" s="119" t="s">
        <v>17</v>
      </c>
      <c r="P7" s="97" t="s">
        <v>62</v>
      </c>
      <c r="Q7" s="2"/>
      <c r="R7" s="2"/>
      <c r="S7" s="2"/>
    </row>
    <row r="8" spans="1:19" ht="18" customHeight="1" x14ac:dyDescent="0.25">
      <c r="B8" s="86" t="s">
        <v>91</v>
      </c>
      <c r="C8" s="87"/>
      <c r="D8" s="87"/>
      <c r="E8" s="87"/>
      <c r="F8" s="88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9" ht="15" customHeight="1" x14ac:dyDescent="0.2">
      <c r="B9" s="60"/>
      <c r="C9" s="211" t="s">
        <v>86</v>
      </c>
      <c r="D9" s="211"/>
      <c r="E9" s="211"/>
      <c r="F9" s="212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9" ht="15" customHeight="1" x14ac:dyDescent="0.2">
      <c r="B10" s="60"/>
      <c r="C10" s="52"/>
      <c r="D10" s="52" t="s">
        <v>3</v>
      </c>
      <c r="E10" s="52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9" ht="15" customHeight="1" x14ac:dyDescent="0.2">
      <c r="B11" s="60"/>
      <c r="C11" s="52"/>
      <c r="D11" s="52"/>
      <c r="E11" s="52" t="s">
        <v>10</v>
      </c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9" ht="15" customHeight="1" x14ac:dyDescent="0.2">
      <c r="B12" s="60"/>
      <c r="C12" s="52"/>
      <c r="D12" s="52"/>
      <c r="E12" s="52" t="s">
        <v>11</v>
      </c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9" ht="15" customHeight="1" x14ac:dyDescent="0.2">
      <c r="B13" s="60"/>
      <c r="C13" s="52"/>
      <c r="D13" s="52"/>
      <c r="E13" s="52" t="s">
        <v>37</v>
      </c>
      <c r="F13" s="53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19" ht="15" customHeight="1" x14ac:dyDescent="0.2">
      <c r="B14" s="60"/>
      <c r="C14" s="52"/>
      <c r="D14" s="52"/>
      <c r="E14" s="52" t="s">
        <v>4</v>
      </c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9" ht="15" customHeight="1" x14ac:dyDescent="0.2">
      <c r="B15" s="60"/>
      <c r="C15" s="52"/>
      <c r="D15" s="52" t="s">
        <v>7</v>
      </c>
      <c r="E15" s="52"/>
      <c r="F15" s="53"/>
      <c r="G15" s="54">
        <f t="shared" ref="G15:P15" si="0">SUM(G11:G14)</f>
        <v>0</v>
      </c>
      <c r="H15" s="54">
        <f t="shared" si="0"/>
        <v>0</v>
      </c>
      <c r="I15" s="54">
        <f t="shared" si="0"/>
        <v>0</v>
      </c>
      <c r="J15" s="54">
        <f t="shared" si="0"/>
        <v>0</v>
      </c>
      <c r="K15" s="54">
        <f t="shared" si="0"/>
        <v>0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54">
        <f t="shared" si="0"/>
        <v>0</v>
      </c>
    </row>
    <row r="16" spans="1:19" ht="15" customHeight="1" x14ac:dyDescent="0.2">
      <c r="B16" s="60"/>
      <c r="C16" s="52"/>
      <c r="D16" s="52" t="s">
        <v>5</v>
      </c>
      <c r="E16" s="52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2:16" ht="15" customHeight="1" x14ac:dyDescent="0.2">
      <c r="B17" s="60"/>
      <c r="C17" s="52"/>
      <c r="D17" s="52"/>
      <c r="E17" s="52" t="s">
        <v>10</v>
      </c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2:16" ht="15" customHeight="1" x14ac:dyDescent="0.2">
      <c r="B18" s="60"/>
      <c r="C18" s="52"/>
      <c r="D18" s="52"/>
      <c r="E18" s="52" t="s">
        <v>11</v>
      </c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2:16" ht="15" customHeight="1" x14ac:dyDescent="0.2">
      <c r="B19" s="60"/>
      <c r="C19" s="52"/>
      <c r="D19" s="52"/>
      <c r="E19" s="52" t="s">
        <v>37</v>
      </c>
      <c r="F19" s="53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2:16" ht="15" customHeight="1" x14ac:dyDescent="0.2">
      <c r="B20" s="60"/>
      <c r="C20" s="52"/>
      <c r="D20" s="52"/>
      <c r="E20" s="52" t="s">
        <v>4</v>
      </c>
      <c r="F20" s="53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2:16" ht="15" customHeight="1" x14ac:dyDescent="0.2">
      <c r="B21" s="60"/>
      <c r="C21" s="52"/>
      <c r="D21" s="52" t="s">
        <v>8</v>
      </c>
      <c r="E21" s="52"/>
      <c r="F21" s="53"/>
      <c r="G21" s="54">
        <f t="shared" ref="G21:P21" si="1">SUM(G17:G20)</f>
        <v>0</v>
      </c>
      <c r="H21" s="54">
        <f t="shared" si="1"/>
        <v>0</v>
      </c>
      <c r="I21" s="54">
        <f t="shared" si="1"/>
        <v>0</v>
      </c>
      <c r="J21" s="54">
        <f t="shared" si="1"/>
        <v>0</v>
      </c>
      <c r="K21" s="54">
        <f t="shared" si="1"/>
        <v>0</v>
      </c>
      <c r="L21" s="54">
        <f t="shared" si="1"/>
        <v>0</v>
      </c>
      <c r="M21" s="54">
        <f t="shared" si="1"/>
        <v>0</v>
      </c>
      <c r="N21" s="54">
        <f t="shared" si="1"/>
        <v>0</v>
      </c>
      <c r="O21" s="54">
        <f t="shared" si="1"/>
        <v>0</v>
      </c>
      <c r="P21" s="54">
        <f t="shared" si="1"/>
        <v>0</v>
      </c>
    </row>
    <row r="22" spans="2:16" ht="15" customHeight="1" x14ac:dyDescent="0.2">
      <c r="B22" s="55"/>
      <c r="C22" s="56" t="s">
        <v>9</v>
      </c>
      <c r="D22" s="56"/>
      <c r="E22" s="56"/>
      <c r="F22" s="57"/>
      <c r="G22" s="58">
        <f t="shared" ref="G22:P22" si="2">G15+G21</f>
        <v>0</v>
      </c>
      <c r="H22" s="58">
        <f t="shared" si="2"/>
        <v>0</v>
      </c>
      <c r="I22" s="58">
        <f t="shared" si="2"/>
        <v>0</v>
      </c>
      <c r="J22" s="58">
        <f t="shared" si="2"/>
        <v>0</v>
      </c>
      <c r="K22" s="58">
        <f t="shared" si="2"/>
        <v>0</v>
      </c>
      <c r="L22" s="58">
        <f t="shared" si="2"/>
        <v>0</v>
      </c>
      <c r="M22" s="58">
        <f t="shared" si="2"/>
        <v>0</v>
      </c>
      <c r="N22" s="58">
        <f t="shared" si="2"/>
        <v>0</v>
      </c>
      <c r="O22" s="58">
        <f t="shared" si="2"/>
        <v>0</v>
      </c>
      <c r="P22" s="58">
        <f t="shared" si="2"/>
        <v>0</v>
      </c>
    </row>
    <row r="23" spans="2:16" ht="15" customHeight="1" x14ac:dyDescent="0.2">
      <c r="B23" s="60"/>
      <c r="C23" s="213" t="s">
        <v>79</v>
      </c>
      <c r="D23" s="213"/>
      <c r="E23" s="213"/>
      <c r="F23" s="21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2:16" ht="15" customHeight="1" x14ac:dyDescent="0.2">
      <c r="B24" s="60"/>
      <c r="C24" s="52"/>
      <c r="D24" s="52" t="s">
        <v>31</v>
      </c>
      <c r="E24" s="52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2:16" ht="15" customHeight="1" x14ac:dyDescent="0.2">
      <c r="B25" s="60"/>
      <c r="C25" s="52"/>
      <c r="D25" s="52"/>
      <c r="E25" s="52" t="s">
        <v>3</v>
      </c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2:16" ht="15" customHeight="1" x14ac:dyDescent="0.2">
      <c r="B26" s="60"/>
      <c r="C26" s="52"/>
      <c r="D26" s="52"/>
      <c r="E26" s="52"/>
      <c r="F26" s="53" t="s">
        <v>37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2:16" ht="15" customHeight="1" x14ac:dyDescent="0.2">
      <c r="B27" s="60"/>
      <c r="C27" s="52"/>
      <c r="D27" s="52"/>
      <c r="E27" s="52"/>
      <c r="F27" s="53" t="s">
        <v>4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2:16" ht="15" customHeight="1" x14ac:dyDescent="0.2">
      <c r="B28" s="60"/>
      <c r="C28" s="52"/>
      <c r="D28" s="52"/>
      <c r="E28" s="52" t="s">
        <v>7</v>
      </c>
      <c r="F28" s="53"/>
      <c r="G28" s="54">
        <f t="shared" ref="G28:P28" si="3">SUM(G26:G27)</f>
        <v>0</v>
      </c>
      <c r="H28" s="54">
        <f t="shared" si="3"/>
        <v>0</v>
      </c>
      <c r="I28" s="54">
        <f t="shared" si="3"/>
        <v>0</v>
      </c>
      <c r="J28" s="54">
        <f t="shared" si="3"/>
        <v>0</v>
      </c>
      <c r="K28" s="54">
        <f t="shared" si="3"/>
        <v>0</v>
      </c>
      <c r="L28" s="54">
        <f t="shared" si="3"/>
        <v>0</v>
      </c>
      <c r="M28" s="54">
        <f t="shared" si="3"/>
        <v>0</v>
      </c>
      <c r="N28" s="54">
        <f t="shared" si="3"/>
        <v>0</v>
      </c>
      <c r="O28" s="54">
        <f t="shared" si="3"/>
        <v>0</v>
      </c>
      <c r="P28" s="54">
        <f t="shared" si="3"/>
        <v>0</v>
      </c>
    </row>
    <row r="29" spans="2:16" ht="15" customHeight="1" x14ac:dyDescent="0.2">
      <c r="B29" s="60"/>
      <c r="C29" s="52"/>
      <c r="D29" s="52"/>
      <c r="E29" s="52" t="s">
        <v>5</v>
      </c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2:16" ht="15" customHeight="1" x14ac:dyDescent="0.2">
      <c r="B30" s="60"/>
      <c r="C30" s="52"/>
      <c r="D30" s="52"/>
      <c r="E30" s="52"/>
      <c r="F30" s="53" t="s">
        <v>37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2:16" ht="15" customHeight="1" x14ac:dyDescent="0.2">
      <c r="B31" s="60"/>
      <c r="C31" s="52"/>
      <c r="D31" s="52"/>
      <c r="E31" s="52"/>
      <c r="F31" s="53" t="s">
        <v>4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2:16" ht="15" customHeight="1" x14ac:dyDescent="0.2">
      <c r="B32" s="60"/>
      <c r="C32" s="52"/>
      <c r="D32" s="52"/>
      <c r="E32" s="52" t="s">
        <v>8</v>
      </c>
      <c r="F32" s="53"/>
      <c r="G32" s="54">
        <f t="shared" ref="G32:P32" si="4">SUM(G30:G31)</f>
        <v>0</v>
      </c>
      <c r="H32" s="54">
        <f t="shared" si="4"/>
        <v>0</v>
      </c>
      <c r="I32" s="54">
        <f t="shared" si="4"/>
        <v>0</v>
      </c>
      <c r="J32" s="54">
        <f t="shared" si="4"/>
        <v>0</v>
      </c>
      <c r="K32" s="54">
        <f t="shared" si="4"/>
        <v>0</v>
      </c>
      <c r="L32" s="54">
        <f t="shared" si="4"/>
        <v>0</v>
      </c>
      <c r="M32" s="54">
        <f t="shared" si="4"/>
        <v>0</v>
      </c>
      <c r="N32" s="54">
        <f t="shared" si="4"/>
        <v>0</v>
      </c>
      <c r="O32" s="54">
        <f t="shared" si="4"/>
        <v>0</v>
      </c>
      <c r="P32" s="54">
        <f t="shared" si="4"/>
        <v>0</v>
      </c>
    </row>
    <row r="33" spans="2:16" ht="15" customHeight="1" x14ac:dyDescent="0.2">
      <c r="B33" s="60"/>
      <c r="C33" s="52"/>
      <c r="D33" s="52" t="s">
        <v>32</v>
      </c>
      <c r="E33" s="52"/>
      <c r="F33" s="53"/>
      <c r="G33" s="54">
        <f t="shared" ref="G33:P33" si="5">G28+G32</f>
        <v>0</v>
      </c>
      <c r="H33" s="54">
        <f t="shared" si="5"/>
        <v>0</v>
      </c>
      <c r="I33" s="54">
        <f t="shared" si="5"/>
        <v>0</v>
      </c>
      <c r="J33" s="54">
        <f t="shared" si="5"/>
        <v>0</v>
      </c>
      <c r="K33" s="54">
        <f t="shared" si="5"/>
        <v>0</v>
      </c>
      <c r="L33" s="54">
        <f t="shared" si="5"/>
        <v>0</v>
      </c>
      <c r="M33" s="54">
        <f t="shared" si="5"/>
        <v>0</v>
      </c>
      <c r="N33" s="54">
        <f t="shared" si="5"/>
        <v>0</v>
      </c>
      <c r="O33" s="54">
        <f t="shared" si="5"/>
        <v>0</v>
      </c>
      <c r="P33" s="54">
        <f t="shared" si="5"/>
        <v>0</v>
      </c>
    </row>
    <row r="34" spans="2:16" ht="15" customHeight="1" x14ac:dyDescent="0.2">
      <c r="B34" s="60"/>
      <c r="C34" s="52"/>
      <c r="D34" s="52" t="s">
        <v>33</v>
      </c>
      <c r="E34" s="52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2:16" ht="15" customHeight="1" x14ac:dyDescent="0.2">
      <c r="B35" s="60"/>
      <c r="C35" s="52"/>
      <c r="D35" s="52"/>
      <c r="E35" s="52" t="s">
        <v>3</v>
      </c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2:16" ht="15" customHeight="1" x14ac:dyDescent="0.2">
      <c r="B36" s="60"/>
      <c r="C36" s="52"/>
      <c r="D36" s="52"/>
      <c r="E36" s="52"/>
      <c r="F36" s="53" t="s">
        <v>37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2:16" ht="15" customHeight="1" x14ac:dyDescent="0.2">
      <c r="B37" s="60"/>
      <c r="C37" s="52"/>
      <c r="D37" s="52"/>
      <c r="E37" s="52"/>
      <c r="F37" s="53" t="s">
        <v>4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2:16" ht="15" customHeight="1" x14ac:dyDescent="0.2">
      <c r="B38" s="60"/>
      <c r="C38" s="52"/>
      <c r="D38" s="52"/>
      <c r="E38" s="52" t="s">
        <v>7</v>
      </c>
      <c r="F38" s="53"/>
      <c r="G38" s="54">
        <f t="shared" ref="G38:P38" si="6">SUM(G36:G37)</f>
        <v>0</v>
      </c>
      <c r="H38" s="54">
        <f t="shared" si="6"/>
        <v>0</v>
      </c>
      <c r="I38" s="54">
        <f t="shared" si="6"/>
        <v>0</v>
      </c>
      <c r="J38" s="54">
        <f t="shared" si="6"/>
        <v>0</v>
      </c>
      <c r="K38" s="54">
        <f t="shared" si="6"/>
        <v>0</v>
      </c>
      <c r="L38" s="54">
        <f t="shared" si="6"/>
        <v>0</v>
      </c>
      <c r="M38" s="54">
        <f t="shared" si="6"/>
        <v>0</v>
      </c>
      <c r="N38" s="54">
        <f t="shared" si="6"/>
        <v>0</v>
      </c>
      <c r="O38" s="54">
        <f t="shared" si="6"/>
        <v>0</v>
      </c>
      <c r="P38" s="54">
        <f t="shared" si="6"/>
        <v>0</v>
      </c>
    </row>
    <row r="39" spans="2:16" ht="15" customHeight="1" x14ac:dyDescent="0.2">
      <c r="B39" s="60"/>
      <c r="C39" s="52"/>
      <c r="D39" s="52"/>
      <c r="E39" s="52" t="s">
        <v>5</v>
      </c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2:16" ht="15" customHeight="1" x14ac:dyDescent="0.2">
      <c r="B40" s="60"/>
      <c r="C40" s="52"/>
      <c r="D40" s="52"/>
      <c r="E40" s="52"/>
      <c r="F40" s="53" t="s">
        <v>37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2:16" ht="15" customHeight="1" x14ac:dyDescent="0.2">
      <c r="B41" s="60"/>
      <c r="C41" s="52"/>
      <c r="D41" s="52"/>
      <c r="E41" s="52"/>
      <c r="F41" s="53" t="s">
        <v>4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2:16" ht="15" customHeight="1" x14ac:dyDescent="0.2">
      <c r="B42" s="60"/>
      <c r="C42" s="52"/>
      <c r="D42" s="52"/>
      <c r="E42" s="52" t="s">
        <v>8</v>
      </c>
      <c r="F42" s="53"/>
      <c r="G42" s="54">
        <f t="shared" ref="G42:P42" si="7">SUM(G40:G41)</f>
        <v>0</v>
      </c>
      <c r="H42" s="54">
        <f t="shared" si="7"/>
        <v>0</v>
      </c>
      <c r="I42" s="54">
        <f t="shared" si="7"/>
        <v>0</v>
      </c>
      <c r="J42" s="54">
        <f t="shared" si="7"/>
        <v>0</v>
      </c>
      <c r="K42" s="54">
        <f t="shared" si="7"/>
        <v>0</v>
      </c>
      <c r="L42" s="54">
        <f t="shared" si="7"/>
        <v>0</v>
      </c>
      <c r="M42" s="54">
        <f t="shared" si="7"/>
        <v>0</v>
      </c>
      <c r="N42" s="54">
        <f t="shared" si="7"/>
        <v>0</v>
      </c>
      <c r="O42" s="54">
        <f t="shared" si="7"/>
        <v>0</v>
      </c>
      <c r="P42" s="54">
        <f t="shared" si="7"/>
        <v>0</v>
      </c>
    </row>
    <row r="43" spans="2:16" ht="15" customHeight="1" x14ac:dyDescent="0.2">
      <c r="B43" s="60"/>
      <c r="C43" s="52"/>
      <c r="D43" s="52" t="s">
        <v>34</v>
      </c>
      <c r="E43" s="52"/>
      <c r="F43" s="53"/>
      <c r="G43" s="54">
        <f t="shared" ref="G43:P43" si="8">G38+G42</f>
        <v>0</v>
      </c>
      <c r="H43" s="54">
        <f t="shared" si="8"/>
        <v>0</v>
      </c>
      <c r="I43" s="54">
        <f t="shared" si="8"/>
        <v>0</v>
      </c>
      <c r="J43" s="54">
        <f t="shared" si="8"/>
        <v>0</v>
      </c>
      <c r="K43" s="54">
        <f t="shared" si="8"/>
        <v>0</v>
      </c>
      <c r="L43" s="54">
        <f t="shared" si="8"/>
        <v>0</v>
      </c>
      <c r="M43" s="54">
        <f t="shared" si="8"/>
        <v>0</v>
      </c>
      <c r="N43" s="54">
        <f t="shared" si="8"/>
        <v>0</v>
      </c>
      <c r="O43" s="54">
        <f t="shared" si="8"/>
        <v>0</v>
      </c>
      <c r="P43" s="54">
        <f t="shared" si="8"/>
        <v>0</v>
      </c>
    </row>
    <row r="44" spans="2:16" ht="15" customHeight="1" x14ac:dyDescent="0.2">
      <c r="B44" s="55"/>
      <c r="C44" s="56" t="s">
        <v>80</v>
      </c>
      <c r="D44" s="56"/>
      <c r="E44" s="56"/>
      <c r="F44" s="57"/>
      <c r="G44" s="58">
        <f t="shared" ref="G44:P44" si="9">G33+G43</f>
        <v>0</v>
      </c>
      <c r="H44" s="58">
        <f t="shared" si="9"/>
        <v>0</v>
      </c>
      <c r="I44" s="58">
        <f t="shared" si="9"/>
        <v>0</v>
      </c>
      <c r="J44" s="58">
        <f t="shared" si="9"/>
        <v>0</v>
      </c>
      <c r="K44" s="58">
        <f t="shared" si="9"/>
        <v>0</v>
      </c>
      <c r="L44" s="58">
        <f t="shared" si="9"/>
        <v>0</v>
      </c>
      <c r="M44" s="58">
        <f t="shared" si="9"/>
        <v>0</v>
      </c>
      <c r="N44" s="58">
        <f t="shared" si="9"/>
        <v>0</v>
      </c>
      <c r="O44" s="58">
        <f t="shared" si="9"/>
        <v>0</v>
      </c>
      <c r="P44" s="58">
        <f t="shared" si="9"/>
        <v>0</v>
      </c>
    </row>
    <row r="45" spans="2:16" ht="15" customHeight="1" x14ac:dyDescent="0.2">
      <c r="B45" s="60"/>
      <c r="C45" s="209" t="s">
        <v>12</v>
      </c>
      <c r="D45" s="209"/>
      <c r="E45" s="209"/>
      <c r="F45" s="210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2:16" ht="15" customHeight="1" x14ac:dyDescent="0.2">
      <c r="B46" s="60"/>
      <c r="C46" s="52"/>
      <c r="D46" s="52" t="s">
        <v>3</v>
      </c>
      <c r="E46" s="52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2:16" ht="15" customHeight="1" x14ac:dyDescent="0.2">
      <c r="B47" s="60"/>
      <c r="C47" s="52"/>
      <c r="D47" s="52"/>
      <c r="E47" s="52" t="s">
        <v>10</v>
      </c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2:16" ht="15" customHeight="1" x14ac:dyDescent="0.2">
      <c r="B48" s="60"/>
      <c r="C48" s="52"/>
      <c r="D48" s="52"/>
      <c r="E48" s="52" t="s">
        <v>11</v>
      </c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2:16" ht="15" customHeight="1" x14ac:dyDescent="0.2">
      <c r="B49" s="60"/>
      <c r="C49" s="52"/>
      <c r="D49" s="52"/>
      <c r="E49" s="52" t="s">
        <v>37</v>
      </c>
      <c r="F49" s="53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2:16" ht="15" customHeight="1" x14ac:dyDescent="0.2">
      <c r="B50" s="60"/>
      <c r="C50" s="52"/>
      <c r="D50" s="52"/>
      <c r="E50" s="52" t="s">
        <v>4</v>
      </c>
      <c r="F50" s="53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2:16" ht="15" customHeight="1" x14ac:dyDescent="0.2">
      <c r="B51" s="60"/>
      <c r="C51" s="52"/>
      <c r="D51" s="52" t="s">
        <v>7</v>
      </c>
      <c r="E51" s="52"/>
      <c r="F51" s="53"/>
      <c r="G51" s="54">
        <f t="shared" ref="G51:P51" si="10">SUM(G47:G50)</f>
        <v>0</v>
      </c>
      <c r="H51" s="54">
        <f t="shared" si="10"/>
        <v>0</v>
      </c>
      <c r="I51" s="54">
        <f t="shared" si="10"/>
        <v>0</v>
      </c>
      <c r="J51" s="54">
        <f t="shared" si="10"/>
        <v>0</v>
      </c>
      <c r="K51" s="54">
        <f t="shared" si="10"/>
        <v>0</v>
      </c>
      <c r="L51" s="54">
        <f t="shared" si="10"/>
        <v>0</v>
      </c>
      <c r="M51" s="54">
        <f t="shared" si="10"/>
        <v>0</v>
      </c>
      <c r="N51" s="54">
        <f t="shared" si="10"/>
        <v>0</v>
      </c>
      <c r="O51" s="54">
        <f t="shared" si="10"/>
        <v>0</v>
      </c>
      <c r="P51" s="54">
        <f t="shared" si="10"/>
        <v>0</v>
      </c>
    </row>
    <row r="52" spans="2:16" ht="15" customHeight="1" x14ac:dyDescent="0.2">
      <c r="B52" s="60"/>
      <c r="C52" s="52"/>
      <c r="D52" s="52" t="s">
        <v>5</v>
      </c>
      <c r="E52" s="52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2:16" ht="15" customHeight="1" x14ac:dyDescent="0.2">
      <c r="B53" s="60"/>
      <c r="C53" s="52"/>
      <c r="D53" s="52"/>
      <c r="E53" s="52" t="s">
        <v>10</v>
      </c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2:16" ht="15" customHeight="1" x14ac:dyDescent="0.2">
      <c r="B54" s="60"/>
      <c r="C54" s="52"/>
      <c r="D54" s="52"/>
      <c r="E54" s="52" t="s">
        <v>11</v>
      </c>
      <c r="F54" s="53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2:16" ht="15" customHeight="1" x14ac:dyDescent="0.2">
      <c r="B55" s="60"/>
      <c r="C55" s="52"/>
      <c r="D55" s="52"/>
      <c r="E55" s="52" t="s">
        <v>37</v>
      </c>
      <c r="F55" s="53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2:16" ht="15" customHeight="1" x14ac:dyDescent="0.2">
      <c r="B56" s="60"/>
      <c r="C56" s="52"/>
      <c r="D56" s="52"/>
      <c r="E56" s="52" t="s">
        <v>4</v>
      </c>
      <c r="F56" s="53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2:16" ht="15" customHeight="1" x14ac:dyDescent="0.2">
      <c r="B57" s="60"/>
      <c r="C57" s="52"/>
      <c r="D57" s="52" t="s">
        <v>8</v>
      </c>
      <c r="E57" s="52"/>
      <c r="F57" s="53"/>
      <c r="G57" s="54">
        <f t="shared" ref="G57:P57" si="11">SUM(G53:G56)</f>
        <v>0</v>
      </c>
      <c r="H57" s="54">
        <f t="shared" si="11"/>
        <v>0</v>
      </c>
      <c r="I57" s="54">
        <f t="shared" si="11"/>
        <v>0</v>
      </c>
      <c r="J57" s="54">
        <f t="shared" si="11"/>
        <v>0</v>
      </c>
      <c r="K57" s="54">
        <f t="shared" si="11"/>
        <v>0</v>
      </c>
      <c r="L57" s="54">
        <f t="shared" si="11"/>
        <v>0</v>
      </c>
      <c r="M57" s="54">
        <f t="shared" si="11"/>
        <v>0</v>
      </c>
      <c r="N57" s="54">
        <f t="shared" si="11"/>
        <v>0</v>
      </c>
      <c r="O57" s="54">
        <f t="shared" si="11"/>
        <v>0</v>
      </c>
      <c r="P57" s="54">
        <f t="shared" si="11"/>
        <v>0</v>
      </c>
    </row>
    <row r="58" spans="2:16" ht="15" customHeight="1" x14ac:dyDescent="0.2">
      <c r="B58" s="55"/>
      <c r="C58" s="56" t="s">
        <v>13</v>
      </c>
      <c r="D58" s="56"/>
      <c r="E58" s="56"/>
      <c r="F58" s="57"/>
      <c r="G58" s="58">
        <f t="shared" ref="G58:P58" si="12">G57+G51</f>
        <v>0</v>
      </c>
      <c r="H58" s="58">
        <f t="shared" si="12"/>
        <v>0</v>
      </c>
      <c r="I58" s="58">
        <f t="shared" si="12"/>
        <v>0</v>
      </c>
      <c r="J58" s="58">
        <f t="shared" si="12"/>
        <v>0</v>
      </c>
      <c r="K58" s="58">
        <f t="shared" si="12"/>
        <v>0</v>
      </c>
      <c r="L58" s="58">
        <f t="shared" si="12"/>
        <v>0</v>
      </c>
      <c r="M58" s="58">
        <f t="shared" si="12"/>
        <v>0</v>
      </c>
      <c r="N58" s="58">
        <f t="shared" si="12"/>
        <v>0</v>
      </c>
      <c r="O58" s="58">
        <f t="shared" si="12"/>
        <v>0</v>
      </c>
      <c r="P58" s="58">
        <f t="shared" si="12"/>
        <v>0</v>
      </c>
    </row>
    <row r="59" spans="2:16" ht="22.5" customHeight="1" x14ac:dyDescent="0.25">
      <c r="B59" s="117" t="s">
        <v>101</v>
      </c>
      <c r="C59" s="105"/>
      <c r="D59" s="105"/>
      <c r="E59" s="105"/>
      <c r="F59" s="106"/>
      <c r="G59" s="107">
        <f t="shared" ref="G59:P59" si="13">G22+G44+G58</f>
        <v>0</v>
      </c>
      <c r="H59" s="107">
        <f t="shared" si="13"/>
        <v>0</v>
      </c>
      <c r="I59" s="107">
        <f t="shared" si="13"/>
        <v>0</v>
      </c>
      <c r="J59" s="107">
        <f t="shared" si="13"/>
        <v>0</v>
      </c>
      <c r="K59" s="107">
        <f t="shared" si="13"/>
        <v>0</v>
      </c>
      <c r="L59" s="107">
        <f t="shared" si="13"/>
        <v>0</v>
      </c>
      <c r="M59" s="107">
        <f t="shared" si="13"/>
        <v>0</v>
      </c>
      <c r="N59" s="107">
        <f t="shared" si="13"/>
        <v>0</v>
      </c>
      <c r="O59" s="107">
        <f t="shared" si="13"/>
        <v>0</v>
      </c>
      <c r="P59" s="107">
        <f t="shared" si="13"/>
        <v>0</v>
      </c>
    </row>
  </sheetData>
  <sheetProtection sheet="1"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12&amp;Rver 3 (12/2007)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3">
    <pageSetUpPr fitToPage="1"/>
  </sheetPr>
  <dimension ref="A1:S59"/>
  <sheetViews>
    <sheetView zoomScale="80" zoomScaleNormal="80" workbookViewId="0">
      <selection activeCell="B1" sqref="B1:P1"/>
    </sheetView>
  </sheetViews>
  <sheetFormatPr defaultColWidth="0" defaultRowHeight="15" zeroHeight="1" x14ac:dyDescent="0.2"/>
  <cols>
    <col min="1" max="1" width="2.85546875" style="48" customWidth="1"/>
    <col min="2" max="3" width="3.7109375" style="48" customWidth="1"/>
    <col min="4" max="4" width="10.140625" style="48" customWidth="1"/>
    <col min="5" max="5" width="3.7109375" style="48" customWidth="1"/>
    <col min="6" max="6" width="22.7109375" style="48" customWidth="1"/>
    <col min="7" max="7" width="18.85546875" style="48" customWidth="1"/>
    <col min="8" max="8" width="14.7109375" style="48" customWidth="1"/>
    <col min="9" max="9" width="17.85546875" style="48" customWidth="1"/>
    <col min="10" max="10" width="17.140625" style="48" customWidth="1"/>
    <col min="11" max="11" width="15.42578125" style="48" customWidth="1"/>
    <col min="12" max="12" width="14.7109375" style="48" customWidth="1"/>
    <col min="13" max="13" width="18.42578125" style="48" customWidth="1"/>
    <col min="14" max="14" width="18" style="48" customWidth="1"/>
    <col min="15" max="15" width="16.42578125" style="48" customWidth="1"/>
    <col min="16" max="16" width="16.85546875" style="48" customWidth="1"/>
    <col min="17" max="19" width="12.7109375" hidden="1" customWidth="1"/>
  </cols>
  <sheetData>
    <row r="1" spans="1:19" ht="52.5" customHeight="1" x14ac:dyDescent="0.2">
      <c r="A1" s="74"/>
      <c r="B1" s="173" t="str">
        <f>'CSS Pgm 1'!B1:$P$1</f>
        <v>Annual Mental Health Services Act Revenue and Expenditure Report for Fiscal Year 2007-08
Community Services and Supports (CSS) Programs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9" ht="20.100000000000001" customHeight="1" x14ac:dyDescent="0.25">
      <c r="A2" s="74"/>
      <c r="B2" s="47" t="s">
        <v>28</v>
      </c>
      <c r="C2" s="47"/>
      <c r="D2" s="47"/>
      <c r="E2" s="184" t="str">
        <f>'CSS Pgm 1'!E2:F2</f>
        <v>Santa Cruz</v>
      </c>
      <c r="F2" s="184"/>
      <c r="G2" s="74"/>
      <c r="H2" s="74"/>
      <c r="I2" s="74"/>
      <c r="J2" s="74"/>
      <c r="K2" s="74"/>
      <c r="L2" s="74"/>
      <c r="M2" s="74"/>
      <c r="N2" s="74"/>
      <c r="O2" s="49" t="s">
        <v>29</v>
      </c>
      <c r="P2" s="78"/>
    </row>
    <row r="3" spans="1:19" s="76" customFormat="1" ht="20.100000000000001" customHeight="1" x14ac:dyDescent="0.25">
      <c r="A3" s="74"/>
      <c r="B3" s="47" t="s">
        <v>92</v>
      </c>
      <c r="C3" s="47"/>
      <c r="D3" s="47"/>
      <c r="E3" s="230"/>
      <c r="F3" s="230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s="76" customFormat="1" ht="21.75" customHeight="1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s="3" customFormat="1" ht="27" customHeight="1" x14ac:dyDescent="0.25">
      <c r="A5" s="163"/>
      <c r="B5" s="174" t="s">
        <v>30</v>
      </c>
      <c r="C5" s="175"/>
      <c r="D5" s="175"/>
      <c r="E5" s="175"/>
      <c r="F5" s="176"/>
      <c r="G5" s="75" t="s">
        <v>19</v>
      </c>
      <c r="H5" s="101" t="s">
        <v>20</v>
      </c>
      <c r="I5" s="101" t="s">
        <v>27</v>
      </c>
      <c r="J5" s="101" t="s">
        <v>21</v>
      </c>
      <c r="K5" s="101" t="s">
        <v>22</v>
      </c>
      <c r="L5" s="101" t="s">
        <v>23</v>
      </c>
      <c r="M5" s="101" t="s">
        <v>24</v>
      </c>
      <c r="N5" s="101" t="s">
        <v>25</v>
      </c>
      <c r="O5" s="101" t="s">
        <v>26</v>
      </c>
      <c r="P5" s="101" t="s">
        <v>63</v>
      </c>
    </row>
    <row r="6" spans="1:19" s="3" customFormat="1" ht="20.25" customHeight="1" x14ac:dyDescent="0.25">
      <c r="A6" s="163"/>
      <c r="B6" s="177"/>
      <c r="C6" s="178"/>
      <c r="D6" s="178"/>
      <c r="E6" s="178"/>
      <c r="F6" s="179"/>
      <c r="G6" s="171" t="s">
        <v>6</v>
      </c>
      <c r="H6" s="201" t="s">
        <v>36</v>
      </c>
      <c r="I6" s="202"/>
      <c r="J6" s="202"/>
      <c r="K6" s="202"/>
      <c r="L6" s="202"/>
      <c r="M6" s="202"/>
      <c r="N6" s="202"/>
      <c r="O6" s="202"/>
      <c r="P6" s="203"/>
    </row>
    <row r="7" spans="1:19" s="1" customFormat="1" ht="42" customHeight="1" x14ac:dyDescent="0.2">
      <c r="A7" s="164"/>
      <c r="B7" s="180"/>
      <c r="C7" s="181"/>
      <c r="D7" s="181"/>
      <c r="E7" s="181"/>
      <c r="F7" s="182"/>
      <c r="G7" s="172"/>
      <c r="H7" s="119" t="s">
        <v>0</v>
      </c>
      <c r="I7" s="119" t="s">
        <v>35</v>
      </c>
      <c r="J7" s="119" t="s">
        <v>18</v>
      </c>
      <c r="K7" s="119" t="s">
        <v>1</v>
      </c>
      <c r="L7" s="119" t="s">
        <v>15</v>
      </c>
      <c r="M7" s="119" t="s">
        <v>16</v>
      </c>
      <c r="N7" s="119" t="s">
        <v>2</v>
      </c>
      <c r="O7" s="119" t="s">
        <v>17</v>
      </c>
      <c r="P7" s="97" t="s">
        <v>62</v>
      </c>
      <c r="Q7" s="2"/>
      <c r="R7" s="2"/>
      <c r="S7" s="2"/>
    </row>
    <row r="8" spans="1:19" ht="23.25" customHeight="1" x14ac:dyDescent="0.25">
      <c r="B8" s="86" t="s">
        <v>93</v>
      </c>
      <c r="C8" s="87"/>
      <c r="D8" s="87"/>
      <c r="E8" s="87"/>
      <c r="F8" s="88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9" ht="15" customHeight="1" x14ac:dyDescent="0.2">
      <c r="B9" s="60"/>
      <c r="C9" s="211" t="s">
        <v>86</v>
      </c>
      <c r="D9" s="211"/>
      <c r="E9" s="211"/>
      <c r="F9" s="212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9" ht="15" customHeight="1" x14ac:dyDescent="0.2">
      <c r="B10" s="60"/>
      <c r="C10" s="52"/>
      <c r="D10" s="52" t="s">
        <v>3</v>
      </c>
      <c r="E10" s="52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9" ht="15" customHeight="1" x14ac:dyDescent="0.2">
      <c r="B11" s="60"/>
      <c r="C11" s="52"/>
      <c r="D11" s="52"/>
      <c r="E11" s="52" t="s">
        <v>10</v>
      </c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9" ht="15" customHeight="1" x14ac:dyDescent="0.2">
      <c r="B12" s="60"/>
      <c r="C12" s="52"/>
      <c r="D12" s="52"/>
      <c r="E12" s="52" t="s">
        <v>11</v>
      </c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9" ht="15" customHeight="1" x14ac:dyDescent="0.2">
      <c r="B13" s="60"/>
      <c r="C13" s="52"/>
      <c r="D13" s="52"/>
      <c r="E13" s="52" t="s">
        <v>37</v>
      </c>
      <c r="F13" s="53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19" ht="15" customHeight="1" x14ac:dyDescent="0.2">
      <c r="B14" s="60"/>
      <c r="C14" s="52"/>
      <c r="D14" s="52"/>
      <c r="E14" s="52" t="s">
        <v>4</v>
      </c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9" ht="15" customHeight="1" x14ac:dyDescent="0.2">
      <c r="B15" s="60"/>
      <c r="C15" s="52"/>
      <c r="D15" s="52" t="s">
        <v>7</v>
      </c>
      <c r="E15" s="52"/>
      <c r="F15" s="53"/>
      <c r="G15" s="54">
        <f t="shared" ref="G15:P15" si="0">SUM(G11:G14)</f>
        <v>0</v>
      </c>
      <c r="H15" s="54">
        <f t="shared" si="0"/>
        <v>0</v>
      </c>
      <c r="I15" s="54">
        <f t="shared" si="0"/>
        <v>0</v>
      </c>
      <c r="J15" s="54">
        <f t="shared" si="0"/>
        <v>0</v>
      </c>
      <c r="K15" s="54">
        <f t="shared" si="0"/>
        <v>0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54">
        <f t="shared" si="0"/>
        <v>0</v>
      </c>
    </row>
    <row r="16" spans="1:19" ht="15" customHeight="1" x14ac:dyDescent="0.2">
      <c r="B16" s="60"/>
      <c r="C16" s="52"/>
      <c r="D16" s="52" t="s">
        <v>5</v>
      </c>
      <c r="E16" s="52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2:16" ht="15" customHeight="1" x14ac:dyDescent="0.2">
      <c r="B17" s="60"/>
      <c r="C17" s="52"/>
      <c r="D17" s="52"/>
      <c r="E17" s="52" t="s">
        <v>10</v>
      </c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2:16" ht="15" customHeight="1" x14ac:dyDescent="0.2">
      <c r="B18" s="60"/>
      <c r="C18" s="52"/>
      <c r="D18" s="52"/>
      <c r="E18" s="52" t="s">
        <v>11</v>
      </c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2:16" ht="15" customHeight="1" x14ac:dyDescent="0.2">
      <c r="B19" s="60"/>
      <c r="C19" s="52"/>
      <c r="D19" s="52"/>
      <c r="E19" s="52" t="s">
        <v>37</v>
      </c>
      <c r="F19" s="53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2:16" ht="15" customHeight="1" x14ac:dyDescent="0.2">
      <c r="B20" s="60"/>
      <c r="C20" s="52"/>
      <c r="D20" s="52"/>
      <c r="E20" s="52" t="s">
        <v>4</v>
      </c>
      <c r="F20" s="53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2:16" ht="15" customHeight="1" x14ac:dyDescent="0.2">
      <c r="B21" s="60"/>
      <c r="C21" s="52"/>
      <c r="D21" s="52" t="s">
        <v>8</v>
      </c>
      <c r="E21" s="52"/>
      <c r="F21" s="53"/>
      <c r="G21" s="54">
        <f t="shared" ref="G21:P21" si="1">SUM(G17:G20)</f>
        <v>0</v>
      </c>
      <c r="H21" s="54">
        <f t="shared" si="1"/>
        <v>0</v>
      </c>
      <c r="I21" s="54">
        <f t="shared" si="1"/>
        <v>0</v>
      </c>
      <c r="J21" s="54">
        <f t="shared" si="1"/>
        <v>0</v>
      </c>
      <c r="K21" s="54">
        <f t="shared" si="1"/>
        <v>0</v>
      </c>
      <c r="L21" s="54">
        <f t="shared" si="1"/>
        <v>0</v>
      </c>
      <c r="M21" s="54">
        <f t="shared" si="1"/>
        <v>0</v>
      </c>
      <c r="N21" s="54">
        <f t="shared" si="1"/>
        <v>0</v>
      </c>
      <c r="O21" s="54">
        <f t="shared" si="1"/>
        <v>0</v>
      </c>
      <c r="P21" s="54">
        <f t="shared" si="1"/>
        <v>0</v>
      </c>
    </row>
    <row r="22" spans="2:16" ht="15" customHeight="1" x14ac:dyDescent="0.2">
      <c r="B22" s="55"/>
      <c r="C22" s="56" t="s">
        <v>9</v>
      </c>
      <c r="D22" s="56"/>
      <c r="E22" s="56"/>
      <c r="F22" s="57"/>
      <c r="G22" s="58">
        <f t="shared" ref="G22:P22" si="2">G15+G21</f>
        <v>0</v>
      </c>
      <c r="H22" s="58">
        <f t="shared" si="2"/>
        <v>0</v>
      </c>
      <c r="I22" s="58">
        <f t="shared" si="2"/>
        <v>0</v>
      </c>
      <c r="J22" s="58">
        <f t="shared" si="2"/>
        <v>0</v>
      </c>
      <c r="K22" s="58">
        <f t="shared" si="2"/>
        <v>0</v>
      </c>
      <c r="L22" s="58">
        <f t="shared" si="2"/>
        <v>0</v>
      </c>
      <c r="M22" s="58">
        <f t="shared" si="2"/>
        <v>0</v>
      </c>
      <c r="N22" s="58">
        <f t="shared" si="2"/>
        <v>0</v>
      </c>
      <c r="O22" s="58">
        <f t="shared" si="2"/>
        <v>0</v>
      </c>
      <c r="P22" s="58">
        <f t="shared" si="2"/>
        <v>0</v>
      </c>
    </row>
    <row r="23" spans="2:16" ht="15" customHeight="1" x14ac:dyDescent="0.2">
      <c r="B23" s="60"/>
      <c r="C23" s="213" t="s">
        <v>79</v>
      </c>
      <c r="D23" s="213"/>
      <c r="E23" s="213"/>
      <c r="F23" s="21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2:16" ht="15" customHeight="1" x14ac:dyDescent="0.2">
      <c r="B24" s="60"/>
      <c r="C24" s="52"/>
      <c r="D24" s="52" t="s">
        <v>31</v>
      </c>
      <c r="E24" s="52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2:16" ht="15" customHeight="1" x14ac:dyDescent="0.2">
      <c r="B25" s="60"/>
      <c r="C25" s="52"/>
      <c r="D25" s="52"/>
      <c r="E25" s="52" t="s">
        <v>3</v>
      </c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2:16" ht="15" customHeight="1" x14ac:dyDescent="0.2">
      <c r="B26" s="60"/>
      <c r="C26" s="52"/>
      <c r="D26" s="52"/>
      <c r="E26" s="52"/>
      <c r="F26" s="53" t="s">
        <v>37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2:16" ht="15" customHeight="1" x14ac:dyDescent="0.2">
      <c r="B27" s="60"/>
      <c r="C27" s="52"/>
      <c r="D27" s="52"/>
      <c r="E27" s="52"/>
      <c r="F27" s="53" t="s">
        <v>4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2:16" ht="15" customHeight="1" x14ac:dyDescent="0.2">
      <c r="B28" s="60"/>
      <c r="C28" s="52"/>
      <c r="D28" s="52"/>
      <c r="E28" s="52" t="s">
        <v>7</v>
      </c>
      <c r="F28" s="53"/>
      <c r="G28" s="54">
        <f t="shared" ref="G28:P28" si="3">SUM(G26:G27)</f>
        <v>0</v>
      </c>
      <c r="H28" s="54">
        <f t="shared" si="3"/>
        <v>0</v>
      </c>
      <c r="I28" s="54">
        <f t="shared" si="3"/>
        <v>0</v>
      </c>
      <c r="J28" s="54">
        <f t="shared" si="3"/>
        <v>0</v>
      </c>
      <c r="K28" s="54">
        <f t="shared" si="3"/>
        <v>0</v>
      </c>
      <c r="L28" s="54">
        <f t="shared" si="3"/>
        <v>0</v>
      </c>
      <c r="M28" s="54">
        <f t="shared" si="3"/>
        <v>0</v>
      </c>
      <c r="N28" s="54">
        <f t="shared" si="3"/>
        <v>0</v>
      </c>
      <c r="O28" s="54">
        <f t="shared" si="3"/>
        <v>0</v>
      </c>
      <c r="P28" s="54">
        <f t="shared" si="3"/>
        <v>0</v>
      </c>
    </row>
    <row r="29" spans="2:16" ht="15" customHeight="1" x14ac:dyDescent="0.2">
      <c r="B29" s="60"/>
      <c r="C29" s="52"/>
      <c r="D29" s="52"/>
      <c r="E29" s="52" t="s">
        <v>5</v>
      </c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2:16" ht="15" customHeight="1" x14ac:dyDescent="0.2">
      <c r="B30" s="60"/>
      <c r="C30" s="52"/>
      <c r="D30" s="52"/>
      <c r="E30" s="52"/>
      <c r="F30" s="53" t="s">
        <v>37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2:16" ht="15" customHeight="1" x14ac:dyDescent="0.2">
      <c r="B31" s="60"/>
      <c r="C31" s="52"/>
      <c r="D31" s="52"/>
      <c r="E31" s="52"/>
      <c r="F31" s="53" t="s">
        <v>4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2:16" ht="15" customHeight="1" x14ac:dyDescent="0.2">
      <c r="B32" s="60"/>
      <c r="C32" s="52"/>
      <c r="D32" s="52"/>
      <c r="E32" s="52" t="s">
        <v>8</v>
      </c>
      <c r="F32" s="53"/>
      <c r="G32" s="54">
        <f t="shared" ref="G32:P32" si="4">SUM(G30:G31)</f>
        <v>0</v>
      </c>
      <c r="H32" s="54">
        <f t="shared" si="4"/>
        <v>0</v>
      </c>
      <c r="I32" s="54">
        <f t="shared" si="4"/>
        <v>0</v>
      </c>
      <c r="J32" s="54">
        <f t="shared" si="4"/>
        <v>0</v>
      </c>
      <c r="K32" s="54">
        <f t="shared" si="4"/>
        <v>0</v>
      </c>
      <c r="L32" s="54">
        <f t="shared" si="4"/>
        <v>0</v>
      </c>
      <c r="M32" s="54">
        <f t="shared" si="4"/>
        <v>0</v>
      </c>
      <c r="N32" s="54">
        <f t="shared" si="4"/>
        <v>0</v>
      </c>
      <c r="O32" s="54">
        <f t="shared" si="4"/>
        <v>0</v>
      </c>
      <c r="P32" s="54">
        <f t="shared" si="4"/>
        <v>0</v>
      </c>
    </row>
    <row r="33" spans="2:16" ht="15" customHeight="1" x14ac:dyDescent="0.2">
      <c r="B33" s="60"/>
      <c r="C33" s="52"/>
      <c r="D33" s="52" t="s">
        <v>32</v>
      </c>
      <c r="E33" s="52"/>
      <c r="F33" s="53"/>
      <c r="G33" s="54">
        <f t="shared" ref="G33:P33" si="5">G28+G32</f>
        <v>0</v>
      </c>
      <c r="H33" s="54">
        <f t="shared" si="5"/>
        <v>0</v>
      </c>
      <c r="I33" s="54">
        <f t="shared" si="5"/>
        <v>0</v>
      </c>
      <c r="J33" s="54">
        <f t="shared" si="5"/>
        <v>0</v>
      </c>
      <c r="K33" s="54">
        <f t="shared" si="5"/>
        <v>0</v>
      </c>
      <c r="L33" s="54">
        <f t="shared" si="5"/>
        <v>0</v>
      </c>
      <c r="M33" s="54">
        <f t="shared" si="5"/>
        <v>0</v>
      </c>
      <c r="N33" s="54">
        <f t="shared" si="5"/>
        <v>0</v>
      </c>
      <c r="O33" s="54">
        <f t="shared" si="5"/>
        <v>0</v>
      </c>
      <c r="P33" s="54">
        <f t="shared" si="5"/>
        <v>0</v>
      </c>
    </row>
    <row r="34" spans="2:16" ht="15" customHeight="1" x14ac:dyDescent="0.2">
      <c r="B34" s="60"/>
      <c r="C34" s="52"/>
      <c r="D34" s="52" t="s">
        <v>33</v>
      </c>
      <c r="E34" s="52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2:16" ht="15" customHeight="1" x14ac:dyDescent="0.2">
      <c r="B35" s="60"/>
      <c r="C35" s="52"/>
      <c r="D35" s="52"/>
      <c r="E35" s="52" t="s">
        <v>3</v>
      </c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2:16" ht="15" customHeight="1" x14ac:dyDescent="0.2">
      <c r="B36" s="60"/>
      <c r="C36" s="52"/>
      <c r="D36" s="52"/>
      <c r="E36" s="52"/>
      <c r="F36" s="53" t="s">
        <v>37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2:16" ht="15" customHeight="1" x14ac:dyDescent="0.2">
      <c r="B37" s="60"/>
      <c r="C37" s="52"/>
      <c r="D37" s="52"/>
      <c r="E37" s="52"/>
      <c r="F37" s="53" t="s">
        <v>4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2:16" ht="15" customHeight="1" x14ac:dyDescent="0.2">
      <c r="B38" s="60"/>
      <c r="C38" s="52"/>
      <c r="D38" s="52"/>
      <c r="E38" s="52" t="s">
        <v>7</v>
      </c>
      <c r="F38" s="53"/>
      <c r="G38" s="54">
        <f t="shared" ref="G38:P38" si="6">SUM(G36:G37)</f>
        <v>0</v>
      </c>
      <c r="H38" s="54">
        <f t="shared" si="6"/>
        <v>0</v>
      </c>
      <c r="I38" s="54">
        <f t="shared" si="6"/>
        <v>0</v>
      </c>
      <c r="J38" s="54">
        <f t="shared" si="6"/>
        <v>0</v>
      </c>
      <c r="K38" s="54">
        <f t="shared" si="6"/>
        <v>0</v>
      </c>
      <c r="L38" s="54">
        <f t="shared" si="6"/>
        <v>0</v>
      </c>
      <c r="M38" s="54">
        <f t="shared" si="6"/>
        <v>0</v>
      </c>
      <c r="N38" s="54">
        <f t="shared" si="6"/>
        <v>0</v>
      </c>
      <c r="O38" s="54">
        <f t="shared" si="6"/>
        <v>0</v>
      </c>
      <c r="P38" s="54">
        <f t="shared" si="6"/>
        <v>0</v>
      </c>
    </row>
    <row r="39" spans="2:16" ht="15" customHeight="1" x14ac:dyDescent="0.2">
      <c r="B39" s="60"/>
      <c r="C39" s="52"/>
      <c r="D39" s="52"/>
      <c r="E39" s="52" t="s">
        <v>5</v>
      </c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2:16" ht="15" customHeight="1" x14ac:dyDescent="0.2">
      <c r="B40" s="60"/>
      <c r="C40" s="52"/>
      <c r="D40" s="52"/>
      <c r="E40" s="52"/>
      <c r="F40" s="53" t="s">
        <v>37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2:16" ht="15" customHeight="1" x14ac:dyDescent="0.2">
      <c r="B41" s="60"/>
      <c r="C41" s="52"/>
      <c r="D41" s="52"/>
      <c r="E41" s="52"/>
      <c r="F41" s="53" t="s">
        <v>4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2:16" ht="15" customHeight="1" x14ac:dyDescent="0.2">
      <c r="B42" s="60"/>
      <c r="C42" s="52"/>
      <c r="D42" s="52"/>
      <c r="E42" s="52" t="s">
        <v>8</v>
      </c>
      <c r="F42" s="53"/>
      <c r="G42" s="54">
        <f t="shared" ref="G42:P42" si="7">SUM(G40:G41)</f>
        <v>0</v>
      </c>
      <c r="H42" s="54">
        <f t="shared" si="7"/>
        <v>0</v>
      </c>
      <c r="I42" s="54">
        <f t="shared" si="7"/>
        <v>0</v>
      </c>
      <c r="J42" s="54">
        <f t="shared" si="7"/>
        <v>0</v>
      </c>
      <c r="K42" s="54">
        <f t="shared" si="7"/>
        <v>0</v>
      </c>
      <c r="L42" s="54">
        <f t="shared" si="7"/>
        <v>0</v>
      </c>
      <c r="M42" s="54">
        <f t="shared" si="7"/>
        <v>0</v>
      </c>
      <c r="N42" s="54">
        <f t="shared" si="7"/>
        <v>0</v>
      </c>
      <c r="O42" s="54">
        <f t="shared" si="7"/>
        <v>0</v>
      </c>
      <c r="P42" s="54">
        <f t="shared" si="7"/>
        <v>0</v>
      </c>
    </row>
    <row r="43" spans="2:16" ht="15" customHeight="1" x14ac:dyDescent="0.2">
      <c r="B43" s="60"/>
      <c r="C43" s="52"/>
      <c r="D43" s="52" t="s">
        <v>34</v>
      </c>
      <c r="E43" s="52"/>
      <c r="F43" s="53"/>
      <c r="G43" s="54">
        <f t="shared" ref="G43:P43" si="8">G38+G42</f>
        <v>0</v>
      </c>
      <c r="H43" s="54">
        <f t="shared" si="8"/>
        <v>0</v>
      </c>
      <c r="I43" s="54">
        <f t="shared" si="8"/>
        <v>0</v>
      </c>
      <c r="J43" s="54">
        <f t="shared" si="8"/>
        <v>0</v>
      </c>
      <c r="K43" s="54">
        <f t="shared" si="8"/>
        <v>0</v>
      </c>
      <c r="L43" s="54">
        <f t="shared" si="8"/>
        <v>0</v>
      </c>
      <c r="M43" s="54">
        <f t="shared" si="8"/>
        <v>0</v>
      </c>
      <c r="N43" s="54">
        <f t="shared" si="8"/>
        <v>0</v>
      </c>
      <c r="O43" s="54">
        <f t="shared" si="8"/>
        <v>0</v>
      </c>
      <c r="P43" s="54">
        <f t="shared" si="8"/>
        <v>0</v>
      </c>
    </row>
    <row r="44" spans="2:16" ht="15" customHeight="1" x14ac:dyDescent="0.2">
      <c r="B44" s="55"/>
      <c r="C44" s="56" t="s">
        <v>80</v>
      </c>
      <c r="D44" s="56"/>
      <c r="E44" s="56"/>
      <c r="F44" s="57"/>
      <c r="G44" s="58">
        <f t="shared" ref="G44:P44" si="9">G33+G43</f>
        <v>0</v>
      </c>
      <c r="H44" s="58">
        <f t="shared" si="9"/>
        <v>0</v>
      </c>
      <c r="I44" s="58">
        <f t="shared" si="9"/>
        <v>0</v>
      </c>
      <c r="J44" s="58">
        <f t="shared" si="9"/>
        <v>0</v>
      </c>
      <c r="K44" s="58">
        <f t="shared" si="9"/>
        <v>0</v>
      </c>
      <c r="L44" s="58">
        <f t="shared" si="9"/>
        <v>0</v>
      </c>
      <c r="M44" s="58">
        <f t="shared" si="9"/>
        <v>0</v>
      </c>
      <c r="N44" s="58">
        <f t="shared" si="9"/>
        <v>0</v>
      </c>
      <c r="O44" s="58">
        <f t="shared" si="9"/>
        <v>0</v>
      </c>
      <c r="P44" s="58">
        <f t="shared" si="9"/>
        <v>0</v>
      </c>
    </row>
    <row r="45" spans="2:16" ht="15" customHeight="1" x14ac:dyDescent="0.2">
      <c r="B45" s="60"/>
      <c r="C45" s="209" t="s">
        <v>12</v>
      </c>
      <c r="D45" s="209"/>
      <c r="E45" s="209"/>
      <c r="F45" s="210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2:16" ht="15" customHeight="1" x14ac:dyDescent="0.2">
      <c r="B46" s="60"/>
      <c r="C46" s="52"/>
      <c r="D46" s="52" t="s">
        <v>3</v>
      </c>
      <c r="E46" s="52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2:16" ht="15" customHeight="1" x14ac:dyDescent="0.2">
      <c r="B47" s="60"/>
      <c r="C47" s="52"/>
      <c r="D47" s="52"/>
      <c r="E47" s="52" t="s">
        <v>10</v>
      </c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2:16" ht="15" customHeight="1" x14ac:dyDescent="0.2">
      <c r="B48" s="60"/>
      <c r="C48" s="52"/>
      <c r="D48" s="52"/>
      <c r="E48" s="52" t="s">
        <v>11</v>
      </c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2:16" ht="15" customHeight="1" x14ac:dyDescent="0.2">
      <c r="B49" s="60"/>
      <c r="C49" s="52"/>
      <c r="D49" s="52"/>
      <c r="E49" s="52" t="s">
        <v>37</v>
      </c>
      <c r="F49" s="53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2:16" ht="15" customHeight="1" x14ac:dyDescent="0.2">
      <c r="B50" s="60"/>
      <c r="C50" s="52"/>
      <c r="D50" s="52"/>
      <c r="E50" s="52" t="s">
        <v>4</v>
      </c>
      <c r="F50" s="53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2:16" ht="15" customHeight="1" x14ac:dyDescent="0.2">
      <c r="B51" s="60"/>
      <c r="C51" s="52"/>
      <c r="D51" s="52" t="s">
        <v>7</v>
      </c>
      <c r="E51" s="52"/>
      <c r="F51" s="53"/>
      <c r="G51" s="54">
        <f t="shared" ref="G51:P51" si="10">SUM(G47:G50)</f>
        <v>0</v>
      </c>
      <c r="H51" s="54">
        <f t="shared" si="10"/>
        <v>0</v>
      </c>
      <c r="I51" s="54">
        <f t="shared" si="10"/>
        <v>0</v>
      </c>
      <c r="J51" s="54">
        <f t="shared" si="10"/>
        <v>0</v>
      </c>
      <c r="K51" s="54">
        <f t="shared" si="10"/>
        <v>0</v>
      </c>
      <c r="L51" s="54">
        <f t="shared" si="10"/>
        <v>0</v>
      </c>
      <c r="M51" s="54">
        <f t="shared" si="10"/>
        <v>0</v>
      </c>
      <c r="N51" s="54">
        <f t="shared" si="10"/>
        <v>0</v>
      </c>
      <c r="O51" s="54">
        <f t="shared" si="10"/>
        <v>0</v>
      </c>
      <c r="P51" s="54">
        <f t="shared" si="10"/>
        <v>0</v>
      </c>
    </row>
    <row r="52" spans="2:16" ht="15" customHeight="1" x14ac:dyDescent="0.2">
      <c r="B52" s="60"/>
      <c r="C52" s="52"/>
      <c r="D52" s="52" t="s">
        <v>5</v>
      </c>
      <c r="E52" s="52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2:16" ht="15" customHeight="1" x14ac:dyDescent="0.2">
      <c r="B53" s="60"/>
      <c r="C53" s="52"/>
      <c r="D53" s="52"/>
      <c r="E53" s="52" t="s">
        <v>10</v>
      </c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2:16" ht="15" customHeight="1" x14ac:dyDescent="0.2">
      <c r="B54" s="60"/>
      <c r="C54" s="52"/>
      <c r="D54" s="52"/>
      <c r="E54" s="52" t="s">
        <v>11</v>
      </c>
      <c r="F54" s="53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2:16" ht="15" customHeight="1" x14ac:dyDescent="0.2">
      <c r="B55" s="60"/>
      <c r="C55" s="52"/>
      <c r="D55" s="52"/>
      <c r="E55" s="52" t="s">
        <v>37</v>
      </c>
      <c r="F55" s="53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2:16" ht="15" customHeight="1" x14ac:dyDescent="0.2">
      <c r="B56" s="60"/>
      <c r="C56" s="52"/>
      <c r="D56" s="52"/>
      <c r="E56" s="52" t="s">
        <v>4</v>
      </c>
      <c r="F56" s="53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2:16" ht="15" customHeight="1" x14ac:dyDescent="0.2">
      <c r="B57" s="60"/>
      <c r="C57" s="52"/>
      <c r="D57" s="52" t="s">
        <v>8</v>
      </c>
      <c r="E57" s="52"/>
      <c r="F57" s="53"/>
      <c r="G57" s="54">
        <f t="shared" ref="G57:P57" si="11">SUM(G53:G56)</f>
        <v>0</v>
      </c>
      <c r="H57" s="54">
        <f t="shared" si="11"/>
        <v>0</v>
      </c>
      <c r="I57" s="54">
        <f t="shared" si="11"/>
        <v>0</v>
      </c>
      <c r="J57" s="54">
        <f t="shared" si="11"/>
        <v>0</v>
      </c>
      <c r="K57" s="54">
        <f t="shared" si="11"/>
        <v>0</v>
      </c>
      <c r="L57" s="54">
        <f t="shared" si="11"/>
        <v>0</v>
      </c>
      <c r="M57" s="54">
        <f t="shared" si="11"/>
        <v>0</v>
      </c>
      <c r="N57" s="54">
        <f t="shared" si="11"/>
        <v>0</v>
      </c>
      <c r="O57" s="54">
        <f t="shared" si="11"/>
        <v>0</v>
      </c>
      <c r="P57" s="54">
        <f t="shared" si="11"/>
        <v>0</v>
      </c>
    </row>
    <row r="58" spans="2:16" ht="15" customHeight="1" x14ac:dyDescent="0.2">
      <c r="B58" s="55"/>
      <c r="C58" s="56" t="s">
        <v>13</v>
      </c>
      <c r="D58" s="56"/>
      <c r="E58" s="56"/>
      <c r="F58" s="57"/>
      <c r="G58" s="58">
        <f t="shared" ref="G58:P58" si="12">G57+G51</f>
        <v>0</v>
      </c>
      <c r="H58" s="58">
        <f t="shared" si="12"/>
        <v>0</v>
      </c>
      <c r="I58" s="58">
        <f t="shared" si="12"/>
        <v>0</v>
      </c>
      <c r="J58" s="58">
        <f t="shared" si="12"/>
        <v>0</v>
      </c>
      <c r="K58" s="58">
        <f t="shared" si="12"/>
        <v>0</v>
      </c>
      <c r="L58" s="58">
        <f t="shared" si="12"/>
        <v>0</v>
      </c>
      <c r="M58" s="58">
        <f t="shared" si="12"/>
        <v>0</v>
      </c>
      <c r="N58" s="58">
        <f t="shared" si="12"/>
        <v>0</v>
      </c>
      <c r="O58" s="58">
        <f t="shared" si="12"/>
        <v>0</v>
      </c>
      <c r="P58" s="58">
        <f t="shared" si="12"/>
        <v>0</v>
      </c>
    </row>
    <row r="59" spans="2:16" ht="18.75" customHeight="1" x14ac:dyDescent="0.25">
      <c r="B59" s="117" t="s">
        <v>100</v>
      </c>
      <c r="C59" s="105"/>
      <c r="D59" s="105"/>
      <c r="E59" s="105"/>
      <c r="F59" s="106"/>
      <c r="G59" s="107">
        <f t="shared" ref="G59:P59" si="13">G22+G44+G58</f>
        <v>0</v>
      </c>
      <c r="H59" s="107">
        <f t="shared" si="13"/>
        <v>0</v>
      </c>
      <c r="I59" s="107">
        <f t="shared" si="13"/>
        <v>0</v>
      </c>
      <c r="J59" s="107">
        <f t="shared" si="13"/>
        <v>0</v>
      </c>
      <c r="K59" s="107">
        <f t="shared" si="13"/>
        <v>0</v>
      </c>
      <c r="L59" s="107">
        <f t="shared" si="13"/>
        <v>0</v>
      </c>
      <c r="M59" s="107">
        <f t="shared" si="13"/>
        <v>0</v>
      </c>
      <c r="N59" s="107">
        <f t="shared" si="13"/>
        <v>0</v>
      </c>
      <c r="O59" s="107">
        <f t="shared" si="13"/>
        <v>0</v>
      </c>
      <c r="P59" s="107">
        <f t="shared" si="13"/>
        <v>0</v>
      </c>
    </row>
  </sheetData>
  <sheetProtection sheet="1"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13&amp;Rver 3 (12/2007)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4">
    <pageSetUpPr fitToPage="1"/>
  </sheetPr>
  <dimension ref="A1:S59"/>
  <sheetViews>
    <sheetView zoomScale="80" zoomScaleNormal="80" workbookViewId="0">
      <selection activeCell="H8" sqref="H8"/>
    </sheetView>
  </sheetViews>
  <sheetFormatPr defaultColWidth="0" defaultRowHeight="15" zeroHeight="1" x14ac:dyDescent="0.2"/>
  <cols>
    <col min="1" max="1" width="2.42578125" style="48" customWidth="1"/>
    <col min="2" max="3" width="3.7109375" style="48" customWidth="1"/>
    <col min="4" max="4" width="9.140625" style="48" customWidth="1"/>
    <col min="5" max="5" width="3.7109375" style="48" customWidth="1"/>
    <col min="6" max="6" width="24.85546875" style="48" customWidth="1"/>
    <col min="7" max="7" width="18.140625" style="48" customWidth="1"/>
    <col min="8" max="8" width="15.28515625" style="48" customWidth="1"/>
    <col min="9" max="9" width="16.85546875" style="48" customWidth="1"/>
    <col min="10" max="10" width="19" style="48" customWidth="1"/>
    <col min="11" max="11" width="14.5703125" style="48" customWidth="1"/>
    <col min="12" max="12" width="15.5703125" style="48" customWidth="1"/>
    <col min="13" max="13" width="18.42578125" style="48" customWidth="1"/>
    <col min="14" max="14" width="16.42578125" style="48" customWidth="1"/>
    <col min="15" max="15" width="15.85546875" style="48" customWidth="1"/>
    <col min="16" max="16" width="14.28515625" style="48" customWidth="1"/>
    <col min="17" max="19" width="12.7109375" hidden="1" customWidth="1"/>
  </cols>
  <sheetData>
    <row r="1" spans="1:19" ht="42" customHeight="1" x14ac:dyDescent="0.2">
      <c r="A1" s="74"/>
      <c r="B1" s="173" t="str">
        <f>'CSS Pgm 1'!B1:$P$1</f>
        <v>Annual Mental Health Services Act Revenue and Expenditure Report for Fiscal Year 2007-08
Community Services and Supports (CSS) Programs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9" ht="20.100000000000001" customHeight="1" x14ac:dyDescent="0.25">
      <c r="A2" s="74"/>
      <c r="B2" s="47" t="s">
        <v>28</v>
      </c>
      <c r="C2" s="47"/>
      <c r="D2" s="47"/>
      <c r="E2" s="184" t="str">
        <f>'CSS Pgm 1'!E2:F2</f>
        <v>Santa Cruz</v>
      </c>
      <c r="F2" s="184"/>
      <c r="G2" s="74"/>
      <c r="H2" s="74"/>
      <c r="I2" s="74"/>
      <c r="J2" s="74"/>
      <c r="K2" s="74"/>
      <c r="L2" s="74"/>
      <c r="M2" s="74"/>
      <c r="N2" s="74"/>
      <c r="O2" s="49" t="s">
        <v>29</v>
      </c>
      <c r="P2" s="78"/>
    </row>
    <row r="3" spans="1:19" ht="20.100000000000001" customHeight="1" x14ac:dyDescent="0.25">
      <c r="A3" s="74"/>
      <c r="B3" s="47" t="s">
        <v>95</v>
      </c>
      <c r="C3" s="47"/>
      <c r="D3" s="47"/>
      <c r="E3" s="230"/>
      <c r="F3" s="230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s="3" customFormat="1" ht="24.75" customHeight="1" x14ac:dyDescent="0.25">
      <c r="A5" s="163"/>
      <c r="B5" s="174" t="s">
        <v>30</v>
      </c>
      <c r="C5" s="175"/>
      <c r="D5" s="175"/>
      <c r="E5" s="175"/>
      <c r="F5" s="176"/>
      <c r="G5" s="75" t="s">
        <v>19</v>
      </c>
      <c r="H5" s="101" t="s">
        <v>20</v>
      </c>
      <c r="I5" s="101" t="s">
        <v>27</v>
      </c>
      <c r="J5" s="101" t="s">
        <v>21</v>
      </c>
      <c r="K5" s="101" t="s">
        <v>22</v>
      </c>
      <c r="L5" s="101" t="s">
        <v>23</v>
      </c>
      <c r="M5" s="101" t="s">
        <v>24</v>
      </c>
      <c r="N5" s="101" t="s">
        <v>25</v>
      </c>
      <c r="O5" s="101" t="s">
        <v>26</v>
      </c>
      <c r="P5" s="101" t="s">
        <v>63</v>
      </c>
    </row>
    <row r="6" spans="1:19" s="3" customFormat="1" ht="27" customHeight="1" x14ac:dyDescent="0.25">
      <c r="A6" s="163"/>
      <c r="B6" s="177"/>
      <c r="C6" s="178"/>
      <c r="D6" s="178"/>
      <c r="E6" s="178"/>
      <c r="F6" s="179"/>
      <c r="G6" s="171" t="s">
        <v>6</v>
      </c>
      <c r="H6" s="201" t="s">
        <v>36</v>
      </c>
      <c r="I6" s="202"/>
      <c r="J6" s="202"/>
      <c r="K6" s="202"/>
      <c r="L6" s="202"/>
      <c r="M6" s="202"/>
      <c r="N6" s="202"/>
      <c r="O6" s="202"/>
      <c r="P6" s="203"/>
    </row>
    <row r="7" spans="1:19" s="1" customFormat="1" ht="42" customHeight="1" x14ac:dyDescent="0.2">
      <c r="A7" s="164"/>
      <c r="B7" s="180"/>
      <c r="C7" s="181"/>
      <c r="D7" s="181"/>
      <c r="E7" s="181"/>
      <c r="F7" s="182"/>
      <c r="G7" s="172"/>
      <c r="H7" s="119" t="s">
        <v>0</v>
      </c>
      <c r="I7" s="119" t="s">
        <v>35</v>
      </c>
      <c r="J7" s="119" t="s">
        <v>18</v>
      </c>
      <c r="K7" s="119" t="s">
        <v>1</v>
      </c>
      <c r="L7" s="119" t="s">
        <v>15</v>
      </c>
      <c r="M7" s="119" t="s">
        <v>16</v>
      </c>
      <c r="N7" s="119" t="s">
        <v>2</v>
      </c>
      <c r="O7" s="119" t="s">
        <v>17</v>
      </c>
      <c r="P7" s="97" t="s">
        <v>62</v>
      </c>
      <c r="Q7" s="2"/>
      <c r="R7" s="2"/>
      <c r="S7" s="2"/>
    </row>
    <row r="8" spans="1:19" ht="23.25" customHeight="1" x14ac:dyDescent="0.25">
      <c r="B8" s="86" t="s">
        <v>94</v>
      </c>
      <c r="C8" s="87"/>
      <c r="D8" s="87"/>
      <c r="E8" s="87"/>
      <c r="F8" s="88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9" ht="15" customHeight="1" x14ac:dyDescent="0.2">
      <c r="B9" s="60"/>
      <c r="C9" s="211" t="s">
        <v>86</v>
      </c>
      <c r="D9" s="211"/>
      <c r="E9" s="211"/>
      <c r="F9" s="212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9" ht="15" customHeight="1" x14ac:dyDescent="0.2">
      <c r="B10" s="60"/>
      <c r="C10" s="52"/>
      <c r="D10" s="52" t="s">
        <v>3</v>
      </c>
      <c r="E10" s="52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9" ht="15" customHeight="1" x14ac:dyDescent="0.2">
      <c r="B11" s="60"/>
      <c r="C11" s="52"/>
      <c r="D11" s="52"/>
      <c r="E11" s="52" t="s">
        <v>10</v>
      </c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9" ht="15" customHeight="1" x14ac:dyDescent="0.2">
      <c r="B12" s="60"/>
      <c r="C12" s="52"/>
      <c r="D12" s="52"/>
      <c r="E12" s="52" t="s">
        <v>11</v>
      </c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9" ht="15" customHeight="1" x14ac:dyDescent="0.2">
      <c r="B13" s="60"/>
      <c r="C13" s="52"/>
      <c r="D13" s="52"/>
      <c r="E13" s="52" t="s">
        <v>37</v>
      </c>
      <c r="F13" s="53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19" ht="15" customHeight="1" x14ac:dyDescent="0.2">
      <c r="B14" s="60"/>
      <c r="C14" s="52"/>
      <c r="D14" s="52"/>
      <c r="E14" s="52" t="s">
        <v>4</v>
      </c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9" ht="15" customHeight="1" x14ac:dyDescent="0.2">
      <c r="B15" s="60"/>
      <c r="C15" s="52"/>
      <c r="D15" s="52" t="s">
        <v>7</v>
      </c>
      <c r="E15" s="52"/>
      <c r="F15" s="53"/>
      <c r="G15" s="54">
        <f t="shared" ref="G15:P15" si="0">SUM(G11:G14)</f>
        <v>0</v>
      </c>
      <c r="H15" s="54">
        <f t="shared" si="0"/>
        <v>0</v>
      </c>
      <c r="I15" s="54">
        <f t="shared" si="0"/>
        <v>0</v>
      </c>
      <c r="J15" s="54">
        <f t="shared" si="0"/>
        <v>0</v>
      </c>
      <c r="K15" s="54">
        <f t="shared" si="0"/>
        <v>0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54">
        <f t="shared" si="0"/>
        <v>0</v>
      </c>
    </row>
    <row r="16" spans="1:19" ht="15" customHeight="1" x14ac:dyDescent="0.2">
      <c r="B16" s="60"/>
      <c r="C16" s="52"/>
      <c r="D16" s="52" t="s">
        <v>5</v>
      </c>
      <c r="E16" s="52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2:16" ht="15" customHeight="1" x14ac:dyDescent="0.2">
      <c r="B17" s="60"/>
      <c r="C17" s="52"/>
      <c r="D17" s="52"/>
      <c r="E17" s="52" t="s">
        <v>10</v>
      </c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2:16" ht="15" customHeight="1" x14ac:dyDescent="0.2">
      <c r="B18" s="60"/>
      <c r="C18" s="52"/>
      <c r="D18" s="52"/>
      <c r="E18" s="52" t="s">
        <v>11</v>
      </c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2:16" ht="15" customHeight="1" x14ac:dyDescent="0.2">
      <c r="B19" s="60"/>
      <c r="C19" s="52"/>
      <c r="D19" s="52"/>
      <c r="E19" s="52" t="s">
        <v>37</v>
      </c>
      <c r="F19" s="53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2:16" ht="15" customHeight="1" x14ac:dyDescent="0.2">
      <c r="B20" s="60"/>
      <c r="C20" s="52"/>
      <c r="D20" s="52"/>
      <c r="E20" s="52" t="s">
        <v>4</v>
      </c>
      <c r="F20" s="53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2:16" ht="15" customHeight="1" x14ac:dyDescent="0.2">
      <c r="B21" s="60"/>
      <c r="C21" s="52"/>
      <c r="D21" s="52" t="s">
        <v>8</v>
      </c>
      <c r="E21" s="52"/>
      <c r="F21" s="53"/>
      <c r="G21" s="54">
        <f t="shared" ref="G21:P21" si="1">SUM(G17:G20)</f>
        <v>0</v>
      </c>
      <c r="H21" s="54">
        <f t="shared" si="1"/>
        <v>0</v>
      </c>
      <c r="I21" s="54">
        <f t="shared" si="1"/>
        <v>0</v>
      </c>
      <c r="J21" s="54">
        <f t="shared" si="1"/>
        <v>0</v>
      </c>
      <c r="K21" s="54">
        <f t="shared" si="1"/>
        <v>0</v>
      </c>
      <c r="L21" s="54">
        <f t="shared" si="1"/>
        <v>0</v>
      </c>
      <c r="M21" s="54">
        <f t="shared" si="1"/>
        <v>0</v>
      </c>
      <c r="N21" s="54">
        <f t="shared" si="1"/>
        <v>0</v>
      </c>
      <c r="O21" s="54">
        <f t="shared" si="1"/>
        <v>0</v>
      </c>
      <c r="P21" s="54">
        <f t="shared" si="1"/>
        <v>0</v>
      </c>
    </row>
    <row r="22" spans="2:16" ht="15" customHeight="1" x14ac:dyDescent="0.2">
      <c r="B22" s="55"/>
      <c r="C22" s="56" t="s">
        <v>9</v>
      </c>
      <c r="D22" s="56"/>
      <c r="E22" s="56"/>
      <c r="F22" s="57"/>
      <c r="G22" s="58">
        <f t="shared" ref="G22:P22" si="2">G15+G21</f>
        <v>0</v>
      </c>
      <c r="H22" s="58">
        <f t="shared" si="2"/>
        <v>0</v>
      </c>
      <c r="I22" s="58">
        <f t="shared" si="2"/>
        <v>0</v>
      </c>
      <c r="J22" s="58">
        <f t="shared" si="2"/>
        <v>0</v>
      </c>
      <c r="K22" s="58">
        <f t="shared" si="2"/>
        <v>0</v>
      </c>
      <c r="L22" s="58">
        <f t="shared" si="2"/>
        <v>0</v>
      </c>
      <c r="M22" s="58">
        <f t="shared" si="2"/>
        <v>0</v>
      </c>
      <c r="N22" s="58">
        <f t="shared" si="2"/>
        <v>0</v>
      </c>
      <c r="O22" s="58">
        <f t="shared" si="2"/>
        <v>0</v>
      </c>
      <c r="P22" s="58">
        <f t="shared" si="2"/>
        <v>0</v>
      </c>
    </row>
    <row r="23" spans="2:16" ht="15" customHeight="1" x14ac:dyDescent="0.2">
      <c r="B23" s="60"/>
      <c r="C23" s="213" t="s">
        <v>79</v>
      </c>
      <c r="D23" s="213"/>
      <c r="E23" s="213"/>
      <c r="F23" s="21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2:16" ht="15" customHeight="1" x14ac:dyDescent="0.2">
      <c r="B24" s="60"/>
      <c r="C24" s="52"/>
      <c r="D24" s="52" t="s">
        <v>31</v>
      </c>
      <c r="E24" s="52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2:16" ht="15" customHeight="1" x14ac:dyDescent="0.2">
      <c r="B25" s="60"/>
      <c r="C25" s="52"/>
      <c r="D25" s="52"/>
      <c r="E25" s="52" t="s">
        <v>3</v>
      </c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2:16" ht="15" customHeight="1" x14ac:dyDescent="0.2">
      <c r="B26" s="60"/>
      <c r="C26" s="52"/>
      <c r="D26" s="52"/>
      <c r="E26" s="52"/>
      <c r="F26" s="53" t="s">
        <v>37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2:16" ht="15" customHeight="1" x14ac:dyDescent="0.2">
      <c r="B27" s="60"/>
      <c r="C27" s="52"/>
      <c r="D27" s="52"/>
      <c r="E27" s="52"/>
      <c r="F27" s="53" t="s">
        <v>4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2:16" ht="15" customHeight="1" x14ac:dyDescent="0.2">
      <c r="B28" s="60"/>
      <c r="C28" s="52"/>
      <c r="D28" s="52"/>
      <c r="E28" s="52" t="s">
        <v>7</v>
      </c>
      <c r="F28" s="53"/>
      <c r="G28" s="54">
        <f t="shared" ref="G28:P28" si="3">SUM(G26:G27)</f>
        <v>0</v>
      </c>
      <c r="H28" s="54">
        <f t="shared" si="3"/>
        <v>0</v>
      </c>
      <c r="I28" s="54">
        <f t="shared" si="3"/>
        <v>0</v>
      </c>
      <c r="J28" s="54">
        <f t="shared" si="3"/>
        <v>0</v>
      </c>
      <c r="K28" s="54">
        <f t="shared" si="3"/>
        <v>0</v>
      </c>
      <c r="L28" s="54">
        <f t="shared" si="3"/>
        <v>0</v>
      </c>
      <c r="M28" s="54">
        <f t="shared" si="3"/>
        <v>0</v>
      </c>
      <c r="N28" s="54">
        <f t="shared" si="3"/>
        <v>0</v>
      </c>
      <c r="O28" s="54">
        <f t="shared" si="3"/>
        <v>0</v>
      </c>
      <c r="P28" s="54">
        <f t="shared" si="3"/>
        <v>0</v>
      </c>
    </row>
    <row r="29" spans="2:16" ht="15" customHeight="1" x14ac:dyDescent="0.2">
      <c r="B29" s="60"/>
      <c r="C29" s="52"/>
      <c r="D29" s="52"/>
      <c r="E29" s="52" t="s">
        <v>5</v>
      </c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2:16" ht="15" customHeight="1" x14ac:dyDescent="0.2">
      <c r="B30" s="60"/>
      <c r="C30" s="52"/>
      <c r="D30" s="52"/>
      <c r="E30" s="52"/>
      <c r="F30" s="53" t="s">
        <v>37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2:16" ht="15" customHeight="1" x14ac:dyDescent="0.2">
      <c r="B31" s="60"/>
      <c r="C31" s="52"/>
      <c r="D31" s="52"/>
      <c r="E31" s="52"/>
      <c r="F31" s="53" t="s">
        <v>4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2:16" ht="15" customHeight="1" x14ac:dyDescent="0.2">
      <c r="B32" s="60"/>
      <c r="C32" s="52"/>
      <c r="D32" s="52"/>
      <c r="E32" s="52" t="s">
        <v>8</v>
      </c>
      <c r="F32" s="53"/>
      <c r="G32" s="54">
        <f t="shared" ref="G32:P32" si="4">SUM(G30:G31)</f>
        <v>0</v>
      </c>
      <c r="H32" s="54">
        <f t="shared" si="4"/>
        <v>0</v>
      </c>
      <c r="I32" s="54">
        <f t="shared" si="4"/>
        <v>0</v>
      </c>
      <c r="J32" s="54">
        <f t="shared" si="4"/>
        <v>0</v>
      </c>
      <c r="K32" s="54">
        <f t="shared" si="4"/>
        <v>0</v>
      </c>
      <c r="L32" s="54">
        <f t="shared" si="4"/>
        <v>0</v>
      </c>
      <c r="M32" s="54">
        <f t="shared" si="4"/>
        <v>0</v>
      </c>
      <c r="N32" s="54">
        <f t="shared" si="4"/>
        <v>0</v>
      </c>
      <c r="O32" s="54">
        <f t="shared" si="4"/>
        <v>0</v>
      </c>
      <c r="P32" s="54">
        <f t="shared" si="4"/>
        <v>0</v>
      </c>
    </row>
    <row r="33" spans="2:16" ht="15" customHeight="1" x14ac:dyDescent="0.2">
      <c r="B33" s="60"/>
      <c r="C33" s="52"/>
      <c r="D33" s="52" t="s">
        <v>32</v>
      </c>
      <c r="E33" s="52"/>
      <c r="F33" s="53"/>
      <c r="G33" s="54">
        <f t="shared" ref="G33:P33" si="5">G28+G32</f>
        <v>0</v>
      </c>
      <c r="H33" s="54">
        <f t="shared" si="5"/>
        <v>0</v>
      </c>
      <c r="I33" s="54">
        <f t="shared" si="5"/>
        <v>0</v>
      </c>
      <c r="J33" s="54">
        <f t="shared" si="5"/>
        <v>0</v>
      </c>
      <c r="K33" s="54">
        <f t="shared" si="5"/>
        <v>0</v>
      </c>
      <c r="L33" s="54">
        <f t="shared" si="5"/>
        <v>0</v>
      </c>
      <c r="M33" s="54">
        <f t="shared" si="5"/>
        <v>0</v>
      </c>
      <c r="N33" s="54">
        <f t="shared" si="5"/>
        <v>0</v>
      </c>
      <c r="O33" s="54">
        <f t="shared" si="5"/>
        <v>0</v>
      </c>
      <c r="P33" s="54">
        <f t="shared" si="5"/>
        <v>0</v>
      </c>
    </row>
    <row r="34" spans="2:16" ht="15" customHeight="1" x14ac:dyDescent="0.2">
      <c r="B34" s="60"/>
      <c r="C34" s="52"/>
      <c r="D34" s="52" t="s">
        <v>33</v>
      </c>
      <c r="E34" s="52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2:16" ht="15" customHeight="1" x14ac:dyDescent="0.2">
      <c r="B35" s="60"/>
      <c r="C35" s="52"/>
      <c r="D35" s="52"/>
      <c r="E35" s="52" t="s">
        <v>3</v>
      </c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2:16" ht="15" customHeight="1" x14ac:dyDescent="0.2">
      <c r="B36" s="60"/>
      <c r="C36" s="52"/>
      <c r="D36" s="52"/>
      <c r="E36" s="52"/>
      <c r="F36" s="53" t="s">
        <v>37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2:16" ht="15" customHeight="1" x14ac:dyDescent="0.2">
      <c r="B37" s="60"/>
      <c r="C37" s="52"/>
      <c r="D37" s="52"/>
      <c r="E37" s="52"/>
      <c r="F37" s="53" t="s">
        <v>4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2:16" ht="15" customHeight="1" x14ac:dyDescent="0.2">
      <c r="B38" s="60"/>
      <c r="C38" s="52"/>
      <c r="D38" s="52"/>
      <c r="E38" s="52" t="s">
        <v>7</v>
      </c>
      <c r="F38" s="53"/>
      <c r="G38" s="54">
        <f t="shared" ref="G38:P38" si="6">SUM(G36:G37)</f>
        <v>0</v>
      </c>
      <c r="H38" s="54">
        <f t="shared" si="6"/>
        <v>0</v>
      </c>
      <c r="I38" s="54">
        <f t="shared" si="6"/>
        <v>0</v>
      </c>
      <c r="J38" s="54">
        <f t="shared" si="6"/>
        <v>0</v>
      </c>
      <c r="K38" s="54">
        <f t="shared" si="6"/>
        <v>0</v>
      </c>
      <c r="L38" s="54">
        <f t="shared" si="6"/>
        <v>0</v>
      </c>
      <c r="M38" s="54">
        <f t="shared" si="6"/>
        <v>0</v>
      </c>
      <c r="N38" s="54">
        <f t="shared" si="6"/>
        <v>0</v>
      </c>
      <c r="O38" s="54">
        <f t="shared" si="6"/>
        <v>0</v>
      </c>
      <c r="P38" s="54">
        <f t="shared" si="6"/>
        <v>0</v>
      </c>
    </row>
    <row r="39" spans="2:16" ht="15" customHeight="1" x14ac:dyDescent="0.2">
      <c r="B39" s="60"/>
      <c r="C39" s="52"/>
      <c r="D39" s="52"/>
      <c r="E39" s="52" t="s">
        <v>5</v>
      </c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2:16" ht="15" customHeight="1" x14ac:dyDescent="0.2">
      <c r="B40" s="60"/>
      <c r="C40" s="52"/>
      <c r="D40" s="52"/>
      <c r="E40" s="52"/>
      <c r="F40" s="53" t="s">
        <v>37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2:16" ht="15" customHeight="1" x14ac:dyDescent="0.2">
      <c r="B41" s="60"/>
      <c r="C41" s="52"/>
      <c r="D41" s="52"/>
      <c r="E41" s="52"/>
      <c r="F41" s="53" t="s">
        <v>4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2:16" ht="15" customHeight="1" x14ac:dyDescent="0.2">
      <c r="B42" s="60"/>
      <c r="C42" s="52"/>
      <c r="D42" s="52"/>
      <c r="E42" s="52" t="s">
        <v>8</v>
      </c>
      <c r="F42" s="53"/>
      <c r="G42" s="54">
        <f t="shared" ref="G42:P42" si="7">SUM(G40:G41)</f>
        <v>0</v>
      </c>
      <c r="H42" s="54">
        <f t="shared" si="7"/>
        <v>0</v>
      </c>
      <c r="I42" s="54">
        <f t="shared" si="7"/>
        <v>0</v>
      </c>
      <c r="J42" s="54">
        <f t="shared" si="7"/>
        <v>0</v>
      </c>
      <c r="K42" s="54">
        <f t="shared" si="7"/>
        <v>0</v>
      </c>
      <c r="L42" s="54">
        <f t="shared" si="7"/>
        <v>0</v>
      </c>
      <c r="M42" s="54">
        <f t="shared" si="7"/>
        <v>0</v>
      </c>
      <c r="N42" s="54">
        <f t="shared" si="7"/>
        <v>0</v>
      </c>
      <c r="O42" s="54">
        <f t="shared" si="7"/>
        <v>0</v>
      </c>
      <c r="P42" s="54">
        <f t="shared" si="7"/>
        <v>0</v>
      </c>
    </row>
    <row r="43" spans="2:16" ht="15" customHeight="1" x14ac:dyDescent="0.2">
      <c r="B43" s="60"/>
      <c r="C43" s="52"/>
      <c r="D43" s="52" t="s">
        <v>34</v>
      </c>
      <c r="E43" s="52"/>
      <c r="F43" s="53"/>
      <c r="G43" s="54">
        <f t="shared" ref="G43:P43" si="8">G38+G42</f>
        <v>0</v>
      </c>
      <c r="H43" s="54">
        <f t="shared" si="8"/>
        <v>0</v>
      </c>
      <c r="I43" s="54">
        <f t="shared" si="8"/>
        <v>0</v>
      </c>
      <c r="J43" s="54">
        <f t="shared" si="8"/>
        <v>0</v>
      </c>
      <c r="K43" s="54">
        <f t="shared" si="8"/>
        <v>0</v>
      </c>
      <c r="L43" s="54">
        <f t="shared" si="8"/>
        <v>0</v>
      </c>
      <c r="M43" s="54">
        <f t="shared" si="8"/>
        <v>0</v>
      </c>
      <c r="N43" s="54">
        <f t="shared" si="8"/>
        <v>0</v>
      </c>
      <c r="O43" s="54">
        <f t="shared" si="8"/>
        <v>0</v>
      </c>
      <c r="P43" s="54">
        <f t="shared" si="8"/>
        <v>0</v>
      </c>
    </row>
    <row r="44" spans="2:16" ht="15" customHeight="1" x14ac:dyDescent="0.2">
      <c r="B44" s="55"/>
      <c r="C44" s="56" t="s">
        <v>80</v>
      </c>
      <c r="D44" s="56"/>
      <c r="E44" s="56"/>
      <c r="F44" s="57"/>
      <c r="G44" s="58">
        <f t="shared" ref="G44:P44" si="9">G33+G43</f>
        <v>0</v>
      </c>
      <c r="H44" s="58">
        <f t="shared" si="9"/>
        <v>0</v>
      </c>
      <c r="I44" s="58">
        <f t="shared" si="9"/>
        <v>0</v>
      </c>
      <c r="J44" s="58">
        <f t="shared" si="9"/>
        <v>0</v>
      </c>
      <c r="K44" s="58">
        <f t="shared" si="9"/>
        <v>0</v>
      </c>
      <c r="L44" s="58">
        <f t="shared" si="9"/>
        <v>0</v>
      </c>
      <c r="M44" s="58">
        <f t="shared" si="9"/>
        <v>0</v>
      </c>
      <c r="N44" s="58">
        <f t="shared" si="9"/>
        <v>0</v>
      </c>
      <c r="O44" s="58">
        <f t="shared" si="9"/>
        <v>0</v>
      </c>
      <c r="P44" s="58">
        <f t="shared" si="9"/>
        <v>0</v>
      </c>
    </row>
    <row r="45" spans="2:16" ht="15" customHeight="1" x14ac:dyDescent="0.2">
      <c r="B45" s="60"/>
      <c r="C45" s="209" t="s">
        <v>12</v>
      </c>
      <c r="D45" s="209"/>
      <c r="E45" s="209"/>
      <c r="F45" s="210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2:16" ht="15" customHeight="1" x14ac:dyDescent="0.2">
      <c r="B46" s="60"/>
      <c r="C46" s="52"/>
      <c r="D46" s="52" t="s">
        <v>3</v>
      </c>
      <c r="E46" s="52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2:16" ht="15" customHeight="1" x14ac:dyDescent="0.2">
      <c r="B47" s="60"/>
      <c r="C47" s="52"/>
      <c r="D47" s="52"/>
      <c r="E47" s="52" t="s">
        <v>10</v>
      </c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2:16" ht="15" customHeight="1" x14ac:dyDescent="0.2">
      <c r="B48" s="60"/>
      <c r="C48" s="52"/>
      <c r="D48" s="52"/>
      <c r="E48" s="52" t="s">
        <v>11</v>
      </c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2:16" ht="15" customHeight="1" x14ac:dyDescent="0.2">
      <c r="B49" s="60"/>
      <c r="C49" s="52"/>
      <c r="D49" s="52"/>
      <c r="E49" s="52" t="s">
        <v>37</v>
      </c>
      <c r="F49" s="53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2:16" ht="15" customHeight="1" x14ac:dyDescent="0.2">
      <c r="B50" s="60"/>
      <c r="C50" s="52"/>
      <c r="D50" s="52"/>
      <c r="E50" s="52" t="s">
        <v>4</v>
      </c>
      <c r="F50" s="53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2:16" ht="15" customHeight="1" x14ac:dyDescent="0.2">
      <c r="B51" s="60"/>
      <c r="C51" s="52"/>
      <c r="D51" s="52" t="s">
        <v>7</v>
      </c>
      <c r="E51" s="52"/>
      <c r="F51" s="53"/>
      <c r="G51" s="54">
        <f t="shared" ref="G51:P51" si="10">SUM(G47:G50)</f>
        <v>0</v>
      </c>
      <c r="H51" s="54">
        <f t="shared" si="10"/>
        <v>0</v>
      </c>
      <c r="I51" s="54">
        <f t="shared" si="10"/>
        <v>0</v>
      </c>
      <c r="J51" s="54">
        <f t="shared" si="10"/>
        <v>0</v>
      </c>
      <c r="K51" s="54">
        <f t="shared" si="10"/>
        <v>0</v>
      </c>
      <c r="L51" s="54">
        <f t="shared" si="10"/>
        <v>0</v>
      </c>
      <c r="M51" s="54">
        <f t="shared" si="10"/>
        <v>0</v>
      </c>
      <c r="N51" s="54">
        <f t="shared" si="10"/>
        <v>0</v>
      </c>
      <c r="O51" s="54">
        <f t="shared" si="10"/>
        <v>0</v>
      </c>
      <c r="P51" s="54">
        <f t="shared" si="10"/>
        <v>0</v>
      </c>
    </row>
    <row r="52" spans="2:16" ht="15" customHeight="1" x14ac:dyDescent="0.2">
      <c r="B52" s="60"/>
      <c r="C52" s="52"/>
      <c r="D52" s="52" t="s">
        <v>5</v>
      </c>
      <c r="E52" s="52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2:16" ht="15" customHeight="1" x14ac:dyDescent="0.2">
      <c r="B53" s="60"/>
      <c r="C53" s="52"/>
      <c r="D53" s="52"/>
      <c r="E53" s="52" t="s">
        <v>10</v>
      </c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2:16" ht="15" customHeight="1" x14ac:dyDescent="0.2">
      <c r="B54" s="60"/>
      <c r="C54" s="52"/>
      <c r="D54" s="52"/>
      <c r="E54" s="52" t="s">
        <v>11</v>
      </c>
      <c r="F54" s="53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2:16" ht="15" customHeight="1" x14ac:dyDescent="0.2">
      <c r="B55" s="60"/>
      <c r="C55" s="52"/>
      <c r="D55" s="52"/>
      <c r="E55" s="52" t="s">
        <v>37</v>
      </c>
      <c r="F55" s="53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2:16" ht="15" customHeight="1" x14ac:dyDescent="0.2">
      <c r="B56" s="60"/>
      <c r="C56" s="52"/>
      <c r="D56" s="52"/>
      <c r="E56" s="52" t="s">
        <v>4</v>
      </c>
      <c r="F56" s="53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2:16" ht="15" customHeight="1" x14ac:dyDescent="0.2">
      <c r="B57" s="60"/>
      <c r="C57" s="52"/>
      <c r="D57" s="52" t="s">
        <v>8</v>
      </c>
      <c r="E57" s="52"/>
      <c r="F57" s="53"/>
      <c r="G57" s="54">
        <f t="shared" ref="G57:P57" si="11">SUM(G53:G56)</f>
        <v>0</v>
      </c>
      <c r="H57" s="54">
        <f t="shared" si="11"/>
        <v>0</v>
      </c>
      <c r="I57" s="54">
        <f t="shared" si="11"/>
        <v>0</v>
      </c>
      <c r="J57" s="54">
        <f t="shared" si="11"/>
        <v>0</v>
      </c>
      <c r="K57" s="54">
        <f t="shared" si="11"/>
        <v>0</v>
      </c>
      <c r="L57" s="54">
        <f t="shared" si="11"/>
        <v>0</v>
      </c>
      <c r="M57" s="54">
        <f t="shared" si="11"/>
        <v>0</v>
      </c>
      <c r="N57" s="54">
        <f t="shared" si="11"/>
        <v>0</v>
      </c>
      <c r="O57" s="54">
        <f t="shared" si="11"/>
        <v>0</v>
      </c>
      <c r="P57" s="54">
        <f t="shared" si="11"/>
        <v>0</v>
      </c>
    </row>
    <row r="58" spans="2:16" ht="15" customHeight="1" x14ac:dyDescent="0.2">
      <c r="B58" s="55"/>
      <c r="C58" s="56" t="s">
        <v>13</v>
      </c>
      <c r="D58" s="56"/>
      <c r="E58" s="56"/>
      <c r="F58" s="57"/>
      <c r="G58" s="58">
        <f t="shared" ref="G58:P58" si="12">G57+G51</f>
        <v>0</v>
      </c>
      <c r="H58" s="58">
        <f t="shared" si="12"/>
        <v>0</v>
      </c>
      <c r="I58" s="58">
        <f t="shared" si="12"/>
        <v>0</v>
      </c>
      <c r="J58" s="58">
        <f t="shared" si="12"/>
        <v>0</v>
      </c>
      <c r="K58" s="58">
        <f t="shared" si="12"/>
        <v>0</v>
      </c>
      <c r="L58" s="58">
        <f t="shared" si="12"/>
        <v>0</v>
      </c>
      <c r="M58" s="58">
        <f t="shared" si="12"/>
        <v>0</v>
      </c>
      <c r="N58" s="58">
        <f t="shared" si="12"/>
        <v>0</v>
      </c>
      <c r="O58" s="58">
        <f t="shared" si="12"/>
        <v>0</v>
      </c>
      <c r="P58" s="58">
        <f t="shared" si="12"/>
        <v>0</v>
      </c>
    </row>
    <row r="59" spans="2:16" ht="23.25" customHeight="1" x14ac:dyDescent="0.25">
      <c r="B59" s="117" t="s">
        <v>99</v>
      </c>
      <c r="C59" s="105"/>
      <c r="D59" s="105"/>
      <c r="E59" s="105"/>
      <c r="F59" s="106"/>
      <c r="G59" s="107">
        <f t="shared" ref="G59:P59" si="13">G22+G44+G58</f>
        <v>0</v>
      </c>
      <c r="H59" s="107">
        <f t="shared" si="13"/>
        <v>0</v>
      </c>
      <c r="I59" s="107">
        <f t="shared" si="13"/>
        <v>0</v>
      </c>
      <c r="J59" s="107">
        <f t="shared" si="13"/>
        <v>0</v>
      </c>
      <c r="K59" s="107">
        <f t="shared" si="13"/>
        <v>0</v>
      </c>
      <c r="L59" s="107">
        <f t="shared" si="13"/>
        <v>0</v>
      </c>
      <c r="M59" s="107">
        <f t="shared" si="13"/>
        <v>0</v>
      </c>
      <c r="N59" s="107">
        <f t="shared" si="13"/>
        <v>0</v>
      </c>
      <c r="O59" s="107">
        <f t="shared" si="13"/>
        <v>0</v>
      </c>
      <c r="P59" s="107">
        <f t="shared" si="13"/>
        <v>0</v>
      </c>
    </row>
  </sheetData>
  <sheetProtection sheet="1"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14&amp;Rver 3 (12/2007)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5">
    <pageSetUpPr fitToPage="1"/>
  </sheetPr>
  <dimension ref="A1:S59"/>
  <sheetViews>
    <sheetView zoomScale="80" zoomScaleNormal="80" workbookViewId="0">
      <selection activeCell="L12" sqref="L12"/>
    </sheetView>
  </sheetViews>
  <sheetFormatPr defaultColWidth="0" defaultRowHeight="12.75" zeroHeight="1" x14ac:dyDescent="0.2"/>
  <cols>
    <col min="1" max="1" width="3.140625" customWidth="1"/>
    <col min="2" max="3" width="3.7109375" customWidth="1"/>
    <col min="4" max="4" width="8.140625" customWidth="1"/>
    <col min="5" max="5" width="3.7109375" customWidth="1"/>
    <col min="6" max="6" width="24.42578125" customWidth="1"/>
    <col min="7" max="7" width="19.140625" customWidth="1"/>
    <col min="8" max="8" width="16.28515625" customWidth="1"/>
    <col min="9" max="9" width="17.42578125" customWidth="1"/>
    <col min="10" max="10" width="15.5703125" customWidth="1"/>
    <col min="11" max="11" width="15.42578125" customWidth="1"/>
    <col min="12" max="12" width="14.7109375" customWidth="1"/>
    <col min="13" max="13" width="17.140625" customWidth="1"/>
    <col min="14" max="14" width="16.85546875" customWidth="1"/>
    <col min="15" max="15" width="16.140625" customWidth="1"/>
    <col min="16" max="16" width="14.5703125" customWidth="1"/>
    <col min="17" max="19" width="12.7109375" hidden="1" customWidth="1"/>
  </cols>
  <sheetData>
    <row r="1" spans="1:19" ht="42" customHeight="1" x14ac:dyDescent="0.2">
      <c r="A1" s="74"/>
      <c r="B1" s="173" t="str">
        <f>'CSS Pgm 1'!B1:$P$1</f>
        <v>Annual Mental Health Services Act Revenue and Expenditure Report for Fiscal Year 2007-08
Community Services and Supports (CSS) Programs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9" ht="20.100000000000001" customHeight="1" x14ac:dyDescent="0.25">
      <c r="A2" s="74"/>
      <c r="B2" s="47" t="s">
        <v>28</v>
      </c>
      <c r="C2" s="47"/>
      <c r="D2" s="47"/>
      <c r="E2" s="184" t="str">
        <f>'CSS Pgm 1'!E2:F2</f>
        <v>Santa Cruz</v>
      </c>
      <c r="F2" s="184"/>
      <c r="G2" s="74"/>
      <c r="H2" s="74"/>
      <c r="I2" s="74"/>
      <c r="J2" s="74"/>
      <c r="K2" s="74"/>
      <c r="L2" s="74"/>
      <c r="M2" s="74"/>
      <c r="N2" s="74"/>
      <c r="O2" s="49" t="s">
        <v>29</v>
      </c>
      <c r="P2" s="78"/>
    </row>
    <row r="3" spans="1:19" ht="20.100000000000001" customHeight="1" x14ac:dyDescent="0.25">
      <c r="A3" s="74"/>
      <c r="B3" s="47" t="s">
        <v>96</v>
      </c>
      <c r="C3" s="47"/>
      <c r="D3" s="47"/>
      <c r="E3" s="230"/>
      <c r="F3" s="230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ht="15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s="3" customFormat="1" ht="21" customHeight="1" x14ac:dyDescent="0.25">
      <c r="A5" s="163"/>
      <c r="B5" s="174" t="s">
        <v>30</v>
      </c>
      <c r="C5" s="175"/>
      <c r="D5" s="175"/>
      <c r="E5" s="175"/>
      <c r="F5" s="176"/>
      <c r="G5" s="75" t="s">
        <v>19</v>
      </c>
      <c r="H5" s="101" t="s">
        <v>20</v>
      </c>
      <c r="I5" s="101" t="s">
        <v>27</v>
      </c>
      <c r="J5" s="101" t="s">
        <v>21</v>
      </c>
      <c r="K5" s="101" t="s">
        <v>22</v>
      </c>
      <c r="L5" s="101" t="s">
        <v>23</v>
      </c>
      <c r="M5" s="101" t="s">
        <v>24</v>
      </c>
      <c r="N5" s="101" t="s">
        <v>25</v>
      </c>
      <c r="O5" s="101" t="s">
        <v>26</v>
      </c>
      <c r="P5" s="101" t="s">
        <v>63</v>
      </c>
    </row>
    <row r="6" spans="1:19" s="3" customFormat="1" ht="18" customHeight="1" x14ac:dyDescent="0.25">
      <c r="A6" s="163"/>
      <c r="B6" s="177"/>
      <c r="C6" s="178"/>
      <c r="D6" s="178"/>
      <c r="E6" s="178"/>
      <c r="F6" s="179"/>
      <c r="G6" s="171" t="s">
        <v>6</v>
      </c>
      <c r="H6" s="201" t="s">
        <v>36</v>
      </c>
      <c r="I6" s="202"/>
      <c r="J6" s="202"/>
      <c r="K6" s="202"/>
      <c r="L6" s="202"/>
      <c r="M6" s="202"/>
      <c r="N6" s="202"/>
      <c r="O6" s="202"/>
      <c r="P6" s="203"/>
    </row>
    <row r="7" spans="1:19" s="1" customFormat="1" ht="42" customHeight="1" x14ac:dyDescent="0.2">
      <c r="A7" s="164"/>
      <c r="B7" s="180"/>
      <c r="C7" s="181"/>
      <c r="D7" s="181"/>
      <c r="E7" s="181"/>
      <c r="F7" s="182"/>
      <c r="G7" s="172"/>
      <c r="H7" s="119" t="s">
        <v>0</v>
      </c>
      <c r="I7" s="119" t="s">
        <v>35</v>
      </c>
      <c r="J7" s="119" t="s">
        <v>18</v>
      </c>
      <c r="K7" s="119" t="s">
        <v>1</v>
      </c>
      <c r="L7" s="119" t="s">
        <v>15</v>
      </c>
      <c r="M7" s="119" t="s">
        <v>16</v>
      </c>
      <c r="N7" s="119" t="s">
        <v>2</v>
      </c>
      <c r="O7" s="119" t="s">
        <v>17</v>
      </c>
      <c r="P7" s="97" t="s">
        <v>62</v>
      </c>
      <c r="Q7" s="2"/>
      <c r="R7" s="2"/>
      <c r="S7" s="2"/>
    </row>
    <row r="8" spans="1:19" ht="18" customHeight="1" x14ac:dyDescent="0.25">
      <c r="A8" s="48"/>
      <c r="B8" s="86" t="s">
        <v>97</v>
      </c>
      <c r="C8" s="87"/>
      <c r="D8" s="87"/>
      <c r="E8" s="87"/>
      <c r="F8" s="88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9" ht="15" customHeight="1" x14ac:dyDescent="0.2">
      <c r="A9" s="48"/>
      <c r="B9" s="60"/>
      <c r="C9" s="211" t="s">
        <v>86</v>
      </c>
      <c r="D9" s="211"/>
      <c r="E9" s="211"/>
      <c r="F9" s="212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9" ht="15" customHeight="1" x14ac:dyDescent="0.2">
      <c r="A10" s="48"/>
      <c r="B10" s="60"/>
      <c r="C10" s="52"/>
      <c r="D10" s="52" t="s">
        <v>3</v>
      </c>
      <c r="E10" s="52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9" ht="15" customHeight="1" x14ac:dyDescent="0.2">
      <c r="A11" s="48"/>
      <c r="B11" s="60"/>
      <c r="C11" s="52"/>
      <c r="D11" s="52"/>
      <c r="E11" s="52" t="s">
        <v>10</v>
      </c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9" ht="15" customHeight="1" x14ac:dyDescent="0.2">
      <c r="A12" s="48"/>
      <c r="B12" s="60"/>
      <c r="C12" s="52"/>
      <c r="D12" s="52"/>
      <c r="E12" s="52" t="s">
        <v>11</v>
      </c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9" ht="15" customHeight="1" x14ac:dyDescent="0.2">
      <c r="A13" s="48"/>
      <c r="B13" s="60"/>
      <c r="C13" s="52"/>
      <c r="D13" s="52"/>
      <c r="E13" s="52" t="s">
        <v>37</v>
      </c>
      <c r="F13" s="53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19" ht="15" customHeight="1" x14ac:dyDescent="0.2">
      <c r="A14" s="48"/>
      <c r="B14" s="60"/>
      <c r="C14" s="52"/>
      <c r="D14" s="52"/>
      <c r="E14" s="52" t="s">
        <v>4</v>
      </c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9" ht="15" customHeight="1" x14ac:dyDescent="0.2">
      <c r="A15" s="48"/>
      <c r="B15" s="60"/>
      <c r="C15" s="52"/>
      <c r="D15" s="52" t="s">
        <v>7</v>
      </c>
      <c r="E15" s="52"/>
      <c r="F15" s="53"/>
      <c r="G15" s="54">
        <f t="shared" ref="G15:P15" si="0">SUM(G11:G14)</f>
        <v>0</v>
      </c>
      <c r="H15" s="54">
        <f t="shared" si="0"/>
        <v>0</v>
      </c>
      <c r="I15" s="54">
        <f t="shared" si="0"/>
        <v>0</v>
      </c>
      <c r="J15" s="54">
        <f t="shared" si="0"/>
        <v>0</v>
      </c>
      <c r="K15" s="54">
        <f t="shared" si="0"/>
        <v>0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54">
        <f t="shared" si="0"/>
        <v>0</v>
      </c>
    </row>
    <row r="16" spans="1:19" ht="15" customHeight="1" x14ac:dyDescent="0.2">
      <c r="A16" s="48"/>
      <c r="B16" s="60"/>
      <c r="C16" s="52"/>
      <c r="D16" s="52" t="s">
        <v>5</v>
      </c>
      <c r="E16" s="52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15" customHeight="1" x14ac:dyDescent="0.2">
      <c r="A17" s="48"/>
      <c r="B17" s="60"/>
      <c r="C17" s="52"/>
      <c r="D17" s="52"/>
      <c r="E17" s="52" t="s">
        <v>10</v>
      </c>
      <c r="F17" s="53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t="15" customHeight="1" x14ac:dyDescent="0.2">
      <c r="A18" s="48"/>
      <c r="B18" s="60"/>
      <c r="C18" s="52"/>
      <c r="D18" s="52"/>
      <c r="E18" s="52" t="s">
        <v>11</v>
      </c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t="15" customHeight="1" x14ac:dyDescent="0.2">
      <c r="A19" s="48"/>
      <c r="B19" s="60"/>
      <c r="C19" s="52"/>
      <c r="D19" s="52"/>
      <c r="E19" s="52" t="s">
        <v>37</v>
      </c>
      <c r="F19" s="53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t="15" customHeight="1" x14ac:dyDescent="0.2">
      <c r="A20" s="48"/>
      <c r="B20" s="60"/>
      <c r="C20" s="52"/>
      <c r="D20" s="52"/>
      <c r="E20" s="52" t="s">
        <v>4</v>
      </c>
      <c r="F20" s="53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t="15" customHeight="1" x14ac:dyDescent="0.2">
      <c r="A21" s="48"/>
      <c r="B21" s="60"/>
      <c r="C21" s="52"/>
      <c r="D21" s="52" t="s">
        <v>8</v>
      </c>
      <c r="E21" s="52"/>
      <c r="F21" s="53"/>
      <c r="G21" s="54">
        <f t="shared" ref="G21:P21" si="1">SUM(G17:G20)</f>
        <v>0</v>
      </c>
      <c r="H21" s="54">
        <f t="shared" si="1"/>
        <v>0</v>
      </c>
      <c r="I21" s="54">
        <f t="shared" si="1"/>
        <v>0</v>
      </c>
      <c r="J21" s="54">
        <f t="shared" si="1"/>
        <v>0</v>
      </c>
      <c r="K21" s="54">
        <f t="shared" si="1"/>
        <v>0</v>
      </c>
      <c r="L21" s="54">
        <f t="shared" si="1"/>
        <v>0</v>
      </c>
      <c r="M21" s="54">
        <f t="shared" si="1"/>
        <v>0</v>
      </c>
      <c r="N21" s="54">
        <f t="shared" si="1"/>
        <v>0</v>
      </c>
      <c r="O21" s="54">
        <f t="shared" si="1"/>
        <v>0</v>
      </c>
      <c r="P21" s="54">
        <f t="shared" si="1"/>
        <v>0</v>
      </c>
    </row>
    <row r="22" spans="1:16" ht="15" customHeight="1" x14ac:dyDescent="0.2">
      <c r="A22" s="48"/>
      <c r="B22" s="55"/>
      <c r="C22" s="56" t="s">
        <v>9</v>
      </c>
      <c r="D22" s="56"/>
      <c r="E22" s="56"/>
      <c r="F22" s="57"/>
      <c r="G22" s="58">
        <f t="shared" ref="G22:P22" si="2">G15+G21</f>
        <v>0</v>
      </c>
      <c r="H22" s="58">
        <f t="shared" si="2"/>
        <v>0</v>
      </c>
      <c r="I22" s="58">
        <f t="shared" si="2"/>
        <v>0</v>
      </c>
      <c r="J22" s="58">
        <f t="shared" si="2"/>
        <v>0</v>
      </c>
      <c r="K22" s="58">
        <f t="shared" si="2"/>
        <v>0</v>
      </c>
      <c r="L22" s="58">
        <f t="shared" si="2"/>
        <v>0</v>
      </c>
      <c r="M22" s="58">
        <f t="shared" si="2"/>
        <v>0</v>
      </c>
      <c r="N22" s="58">
        <f t="shared" si="2"/>
        <v>0</v>
      </c>
      <c r="O22" s="58">
        <f t="shared" si="2"/>
        <v>0</v>
      </c>
      <c r="P22" s="58">
        <f t="shared" si="2"/>
        <v>0</v>
      </c>
    </row>
    <row r="23" spans="1:16" ht="15" customHeight="1" x14ac:dyDescent="0.2">
      <c r="A23" s="48"/>
      <c r="B23" s="60"/>
      <c r="C23" s="213" t="s">
        <v>79</v>
      </c>
      <c r="D23" s="213"/>
      <c r="E23" s="213"/>
      <c r="F23" s="21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t="15" customHeight="1" x14ac:dyDescent="0.2">
      <c r="A24" s="48"/>
      <c r="B24" s="60"/>
      <c r="C24" s="52"/>
      <c r="D24" s="52" t="s">
        <v>31</v>
      </c>
      <c r="E24" s="52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t="15" customHeight="1" x14ac:dyDescent="0.2">
      <c r="A25" s="48"/>
      <c r="B25" s="60"/>
      <c r="C25" s="52"/>
      <c r="D25" s="52"/>
      <c r="E25" s="52" t="s">
        <v>3</v>
      </c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t="15" customHeight="1" x14ac:dyDescent="0.2">
      <c r="A26" s="48"/>
      <c r="B26" s="60"/>
      <c r="C26" s="52"/>
      <c r="D26" s="52"/>
      <c r="E26" s="52"/>
      <c r="F26" s="53" t="s">
        <v>37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t="15" customHeight="1" x14ac:dyDescent="0.2">
      <c r="A27" s="48"/>
      <c r="B27" s="60"/>
      <c r="C27" s="52"/>
      <c r="D27" s="52"/>
      <c r="E27" s="52"/>
      <c r="F27" s="53" t="s">
        <v>4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t="15" customHeight="1" x14ac:dyDescent="0.2">
      <c r="A28" s="48"/>
      <c r="B28" s="60"/>
      <c r="C28" s="52"/>
      <c r="D28" s="52"/>
      <c r="E28" s="52" t="s">
        <v>7</v>
      </c>
      <c r="F28" s="53"/>
      <c r="G28" s="54">
        <f t="shared" ref="G28:P28" si="3">SUM(G26:G27)</f>
        <v>0</v>
      </c>
      <c r="H28" s="54">
        <f t="shared" si="3"/>
        <v>0</v>
      </c>
      <c r="I28" s="54">
        <f t="shared" si="3"/>
        <v>0</v>
      </c>
      <c r="J28" s="54">
        <f t="shared" si="3"/>
        <v>0</v>
      </c>
      <c r="K28" s="54">
        <f t="shared" si="3"/>
        <v>0</v>
      </c>
      <c r="L28" s="54">
        <f t="shared" si="3"/>
        <v>0</v>
      </c>
      <c r="M28" s="54">
        <f t="shared" si="3"/>
        <v>0</v>
      </c>
      <c r="N28" s="54">
        <f t="shared" si="3"/>
        <v>0</v>
      </c>
      <c r="O28" s="54">
        <f t="shared" si="3"/>
        <v>0</v>
      </c>
      <c r="P28" s="54">
        <f t="shared" si="3"/>
        <v>0</v>
      </c>
    </row>
    <row r="29" spans="1:16" ht="15" customHeight="1" x14ac:dyDescent="0.2">
      <c r="A29" s="48"/>
      <c r="B29" s="60"/>
      <c r="C29" s="52"/>
      <c r="D29" s="52"/>
      <c r="E29" s="52" t="s">
        <v>5</v>
      </c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t="15" customHeight="1" x14ac:dyDescent="0.2">
      <c r="A30" s="48"/>
      <c r="B30" s="60"/>
      <c r="C30" s="52"/>
      <c r="D30" s="52"/>
      <c r="E30" s="52"/>
      <c r="F30" s="53" t="s">
        <v>37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t="15" customHeight="1" x14ac:dyDescent="0.2">
      <c r="A31" s="48"/>
      <c r="B31" s="60"/>
      <c r="C31" s="52"/>
      <c r="D31" s="52"/>
      <c r="E31" s="52"/>
      <c r="F31" s="53" t="s">
        <v>4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t="15" customHeight="1" x14ac:dyDescent="0.2">
      <c r="A32" s="48"/>
      <c r="B32" s="60"/>
      <c r="C32" s="52"/>
      <c r="D32" s="52"/>
      <c r="E32" s="52" t="s">
        <v>8</v>
      </c>
      <c r="F32" s="53"/>
      <c r="G32" s="54">
        <f t="shared" ref="G32:P32" si="4">SUM(G30:G31)</f>
        <v>0</v>
      </c>
      <c r="H32" s="54">
        <f t="shared" si="4"/>
        <v>0</v>
      </c>
      <c r="I32" s="54">
        <f t="shared" si="4"/>
        <v>0</v>
      </c>
      <c r="J32" s="54">
        <f t="shared" si="4"/>
        <v>0</v>
      </c>
      <c r="K32" s="54">
        <f t="shared" si="4"/>
        <v>0</v>
      </c>
      <c r="L32" s="54">
        <f t="shared" si="4"/>
        <v>0</v>
      </c>
      <c r="M32" s="54">
        <f t="shared" si="4"/>
        <v>0</v>
      </c>
      <c r="N32" s="54">
        <f t="shared" si="4"/>
        <v>0</v>
      </c>
      <c r="O32" s="54">
        <f t="shared" si="4"/>
        <v>0</v>
      </c>
      <c r="P32" s="54">
        <f t="shared" si="4"/>
        <v>0</v>
      </c>
    </row>
    <row r="33" spans="1:16" ht="15" customHeight="1" x14ac:dyDescent="0.2">
      <c r="A33" s="48"/>
      <c r="B33" s="60"/>
      <c r="C33" s="52"/>
      <c r="D33" s="52" t="s">
        <v>32</v>
      </c>
      <c r="E33" s="52"/>
      <c r="F33" s="53"/>
      <c r="G33" s="54">
        <f t="shared" ref="G33:P33" si="5">G28+G32</f>
        <v>0</v>
      </c>
      <c r="H33" s="54">
        <f t="shared" si="5"/>
        <v>0</v>
      </c>
      <c r="I33" s="54">
        <f t="shared" si="5"/>
        <v>0</v>
      </c>
      <c r="J33" s="54">
        <f t="shared" si="5"/>
        <v>0</v>
      </c>
      <c r="K33" s="54">
        <f t="shared" si="5"/>
        <v>0</v>
      </c>
      <c r="L33" s="54">
        <f t="shared" si="5"/>
        <v>0</v>
      </c>
      <c r="M33" s="54">
        <f t="shared" si="5"/>
        <v>0</v>
      </c>
      <c r="N33" s="54">
        <f t="shared" si="5"/>
        <v>0</v>
      </c>
      <c r="O33" s="54">
        <f t="shared" si="5"/>
        <v>0</v>
      </c>
      <c r="P33" s="54">
        <f t="shared" si="5"/>
        <v>0</v>
      </c>
    </row>
    <row r="34" spans="1:16" ht="15" customHeight="1" x14ac:dyDescent="0.2">
      <c r="A34" s="48"/>
      <c r="B34" s="60"/>
      <c r="C34" s="52"/>
      <c r="D34" s="52" t="s">
        <v>33</v>
      </c>
      <c r="E34" s="52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t="15" customHeight="1" x14ac:dyDescent="0.2">
      <c r="A35" s="48"/>
      <c r="B35" s="60"/>
      <c r="C35" s="52"/>
      <c r="D35" s="52"/>
      <c r="E35" s="52" t="s">
        <v>3</v>
      </c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t="15" customHeight="1" x14ac:dyDescent="0.2">
      <c r="A36" s="48"/>
      <c r="B36" s="60"/>
      <c r="C36" s="52"/>
      <c r="D36" s="52"/>
      <c r="E36" s="52"/>
      <c r="F36" s="53" t="s">
        <v>37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t="15" customHeight="1" x14ac:dyDescent="0.2">
      <c r="A37" s="48"/>
      <c r="B37" s="60"/>
      <c r="C37" s="52"/>
      <c r="D37" s="52"/>
      <c r="E37" s="52"/>
      <c r="F37" s="53" t="s">
        <v>4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t="15" customHeight="1" x14ac:dyDescent="0.2">
      <c r="A38" s="48"/>
      <c r="B38" s="60"/>
      <c r="C38" s="52"/>
      <c r="D38" s="52"/>
      <c r="E38" s="52" t="s">
        <v>7</v>
      </c>
      <c r="F38" s="53"/>
      <c r="G38" s="54">
        <f t="shared" ref="G38:P38" si="6">SUM(G36:G37)</f>
        <v>0</v>
      </c>
      <c r="H38" s="54">
        <f t="shared" si="6"/>
        <v>0</v>
      </c>
      <c r="I38" s="54">
        <f t="shared" si="6"/>
        <v>0</v>
      </c>
      <c r="J38" s="54">
        <f t="shared" si="6"/>
        <v>0</v>
      </c>
      <c r="K38" s="54">
        <f t="shared" si="6"/>
        <v>0</v>
      </c>
      <c r="L38" s="54">
        <f t="shared" si="6"/>
        <v>0</v>
      </c>
      <c r="M38" s="54">
        <f t="shared" si="6"/>
        <v>0</v>
      </c>
      <c r="N38" s="54">
        <f t="shared" si="6"/>
        <v>0</v>
      </c>
      <c r="O38" s="54">
        <f t="shared" si="6"/>
        <v>0</v>
      </c>
      <c r="P38" s="54">
        <f t="shared" si="6"/>
        <v>0</v>
      </c>
    </row>
    <row r="39" spans="1:16" ht="15" customHeight="1" x14ac:dyDescent="0.2">
      <c r="A39" s="48"/>
      <c r="B39" s="60"/>
      <c r="C39" s="52"/>
      <c r="D39" s="52"/>
      <c r="E39" s="52" t="s">
        <v>5</v>
      </c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t="15" customHeight="1" x14ac:dyDescent="0.2">
      <c r="A40" s="48"/>
      <c r="B40" s="60"/>
      <c r="C40" s="52"/>
      <c r="D40" s="52"/>
      <c r="E40" s="52"/>
      <c r="F40" s="53" t="s">
        <v>37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t="15" customHeight="1" x14ac:dyDescent="0.2">
      <c r="A41" s="48"/>
      <c r="B41" s="60"/>
      <c r="C41" s="52"/>
      <c r="D41" s="52"/>
      <c r="E41" s="52"/>
      <c r="F41" s="53" t="s">
        <v>4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t="15" customHeight="1" x14ac:dyDescent="0.2">
      <c r="A42" s="48"/>
      <c r="B42" s="60"/>
      <c r="C42" s="52"/>
      <c r="D42" s="52"/>
      <c r="E42" s="52" t="s">
        <v>8</v>
      </c>
      <c r="F42" s="53"/>
      <c r="G42" s="54">
        <f t="shared" ref="G42:P42" si="7">SUM(G40:G41)</f>
        <v>0</v>
      </c>
      <c r="H42" s="54">
        <f t="shared" si="7"/>
        <v>0</v>
      </c>
      <c r="I42" s="54">
        <f t="shared" si="7"/>
        <v>0</v>
      </c>
      <c r="J42" s="54">
        <f t="shared" si="7"/>
        <v>0</v>
      </c>
      <c r="K42" s="54">
        <f t="shared" si="7"/>
        <v>0</v>
      </c>
      <c r="L42" s="54">
        <f t="shared" si="7"/>
        <v>0</v>
      </c>
      <c r="M42" s="54">
        <f t="shared" si="7"/>
        <v>0</v>
      </c>
      <c r="N42" s="54">
        <f t="shared" si="7"/>
        <v>0</v>
      </c>
      <c r="O42" s="54">
        <f t="shared" si="7"/>
        <v>0</v>
      </c>
      <c r="P42" s="54">
        <f t="shared" si="7"/>
        <v>0</v>
      </c>
    </row>
    <row r="43" spans="1:16" ht="15" customHeight="1" x14ac:dyDescent="0.2">
      <c r="A43" s="48"/>
      <c r="B43" s="60"/>
      <c r="C43" s="52"/>
      <c r="D43" s="52" t="s">
        <v>34</v>
      </c>
      <c r="E43" s="52"/>
      <c r="F43" s="53"/>
      <c r="G43" s="54">
        <f t="shared" ref="G43:P43" si="8">G38+G42</f>
        <v>0</v>
      </c>
      <c r="H43" s="54">
        <f t="shared" si="8"/>
        <v>0</v>
      </c>
      <c r="I43" s="54">
        <f t="shared" si="8"/>
        <v>0</v>
      </c>
      <c r="J43" s="54">
        <f t="shared" si="8"/>
        <v>0</v>
      </c>
      <c r="K43" s="54">
        <f t="shared" si="8"/>
        <v>0</v>
      </c>
      <c r="L43" s="54">
        <f t="shared" si="8"/>
        <v>0</v>
      </c>
      <c r="M43" s="54">
        <f t="shared" si="8"/>
        <v>0</v>
      </c>
      <c r="N43" s="54">
        <f t="shared" si="8"/>
        <v>0</v>
      </c>
      <c r="O43" s="54">
        <f t="shared" si="8"/>
        <v>0</v>
      </c>
      <c r="P43" s="54">
        <f t="shared" si="8"/>
        <v>0</v>
      </c>
    </row>
    <row r="44" spans="1:16" ht="15" customHeight="1" x14ac:dyDescent="0.2">
      <c r="A44" s="48"/>
      <c r="B44" s="55"/>
      <c r="C44" s="56" t="s">
        <v>80</v>
      </c>
      <c r="D44" s="56"/>
      <c r="E44" s="56"/>
      <c r="F44" s="57"/>
      <c r="G44" s="58">
        <f t="shared" ref="G44:P44" si="9">G33+G43</f>
        <v>0</v>
      </c>
      <c r="H44" s="58">
        <f t="shared" si="9"/>
        <v>0</v>
      </c>
      <c r="I44" s="58">
        <f t="shared" si="9"/>
        <v>0</v>
      </c>
      <c r="J44" s="58">
        <f t="shared" si="9"/>
        <v>0</v>
      </c>
      <c r="K44" s="58">
        <f t="shared" si="9"/>
        <v>0</v>
      </c>
      <c r="L44" s="58">
        <f t="shared" si="9"/>
        <v>0</v>
      </c>
      <c r="M44" s="58">
        <f t="shared" si="9"/>
        <v>0</v>
      </c>
      <c r="N44" s="58">
        <f t="shared" si="9"/>
        <v>0</v>
      </c>
      <c r="O44" s="58">
        <f t="shared" si="9"/>
        <v>0</v>
      </c>
      <c r="P44" s="58">
        <f t="shared" si="9"/>
        <v>0</v>
      </c>
    </row>
    <row r="45" spans="1:16" ht="15" customHeight="1" x14ac:dyDescent="0.2">
      <c r="A45" s="48"/>
      <c r="B45" s="60"/>
      <c r="C45" s="209" t="s">
        <v>12</v>
      </c>
      <c r="D45" s="209"/>
      <c r="E45" s="209"/>
      <c r="F45" s="210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t="15" customHeight="1" x14ac:dyDescent="0.2">
      <c r="A46" s="48"/>
      <c r="B46" s="60"/>
      <c r="C46" s="52"/>
      <c r="D46" s="52" t="s">
        <v>3</v>
      </c>
      <c r="E46" s="52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t="15" customHeight="1" x14ac:dyDescent="0.2">
      <c r="A47" s="48"/>
      <c r="B47" s="60"/>
      <c r="C47" s="52"/>
      <c r="D47" s="52"/>
      <c r="E47" s="52" t="s">
        <v>10</v>
      </c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t="15" customHeight="1" x14ac:dyDescent="0.2">
      <c r="A48" s="48"/>
      <c r="B48" s="60"/>
      <c r="C48" s="52"/>
      <c r="D48" s="52"/>
      <c r="E48" s="52" t="s">
        <v>11</v>
      </c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t="15" customHeight="1" x14ac:dyDescent="0.2">
      <c r="A49" s="48"/>
      <c r="B49" s="60"/>
      <c r="C49" s="52"/>
      <c r="D49" s="52"/>
      <c r="E49" s="52" t="s">
        <v>37</v>
      </c>
      <c r="F49" s="53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t="15" customHeight="1" x14ac:dyDescent="0.2">
      <c r="A50" s="48"/>
      <c r="B50" s="60"/>
      <c r="C50" s="52"/>
      <c r="D50" s="52"/>
      <c r="E50" s="52" t="s">
        <v>4</v>
      </c>
      <c r="F50" s="53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t="15" customHeight="1" x14ac:dyDescent="0.2">
      <c r="A51" s="48"/>
      <c r="B51" s="60"/>
      <c r="C51" s="52"/>
      <c r="D51" s="52" t="s">
        <v>7</v>
      </c>
      <c r="E51" s="52"/>
      <c r="F51" s="53"/>
      <c r="G51" s="54">
        <f t="shared" ref="G51:P51" si="10">SUM(G47:G50)</f>
        <v>0</v>
      </c>
      <c r="H51" s="54">
        <f t="shared" si="10"/>
        <v>0</v>
      </c>
      <c r="I51" s="54">
        <f t="shared" si="10"/>
        <v>0</v>
      </c>
      <c r="J51" s="54">
        <f t="shared" si="10"/>
        <v>0</v>
      </c>
      <c r="K51" s="54">
        <f t="shared" si="10"/>
        <v>0</v>
      </c>
      <c r="L51" s="54">
        <f t="shared" si="10"/>
        <v>0</v>
      </c>
      <c r="M51" s="54">
        <f t="shared" si="10"/>
        <v>0</v>
      </c>
      <c r="N51" s="54">
        <f t="shared" si="10"/>
        <v>0</v>
      </c>
      <c r="O51" s="54">
        <f t="shared" si="10"/>
        <v>0</v>
      </c>
      <c r="P51" s="54">
        <f t="shared" si="10"/>
        <v>0</v>
      </c>
    </row>
    <row r="52" spans="1:16" ht="15" customHeight="1" x14ac:dyDescent="0.2">
      <c r="A52" s="48"/>
      <c r="B52" s="60"/>
      <c r="C52" s="52"/>
      <c r="D52" s="52" t="s">
        <v>5</v>
      </c>
      <c r="E52" s="52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t="15" customHeight="1" x14ac:dyDescent="0.2">
      <c r="A53" s="48"/>
      <c r="B53" s="60"/>
      <c r="C53" s="52"/>
      <c r="D53" s="52"/>
      <c r="E53" s="52" t="s">
        <v>10</v>
      </c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t="15" customHeight="1" x14ac:dyDescent="0.2">
      <c r="A54" s="48"/>
      <c r="B54" s="60"/>
      <c r="C54" s="52"/>
      <c r="D54" s="52"/>
      <c r="E54" s="52" t="s">
        <v>11</v>
      </c>
      <c r="F54" s="53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t="15" customHeight="1" x14ac:dyDescent="0.2">
      <c r="A55" s="48"/>
      <c r="B55" s="60"/>
      <c r="C55" s="52"/>
      <c r="D55" s="52"/>
      <c r="E55" s="52" t="s">
        <v>37</v>
      </c>
      <c r="F55" s="53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t="15" customHeight="1" x14ac:dyDescent="0.2">
      <c r="A56" s="48"/>
      <c r="B56" s="60"/>
      <c r="C56" s="52"/>
      <c r="D56" s="52"/>
      <c r="E56" s="52" t="s">
        <v>4</v>
      </c>
      <c r="F56" s="53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t="15" customHeight="1" x14ac:dyDescent="0.2">
      <c r="A57" s="48"/>
      <c r="B57" s="60"/>
      <c r="C57" s="52"/>
      <c r="D57" s="52" t="s">
        <v>8</v>
      </c>
      <c r="E57" s="52"/>
      <c r="F57" s="53"/>
      <c r="G57" s="54">
        <f t="shared" ref="G57:P57" si="11">SUM(G53:G56)</f>
        <v>0</v>
      </c>
      <c r="H57" s="54">
        <f t="shared" si="11"/>
        <v>0</v>
      </c>
      <c r="I57" s="54">
        <f t="shared" si="11"/>
        <v>0</v>
      </c>
      <c r="J57" s="54">
        <f t="shared" si="11"/>
        <v>0</v>
      </c>
      <c r="K57" s="54">
        <f t="shared" si="11"/>
        <v>0</v>
      </c>
      <c r="L57" s="54">
        <f t="shared" si="11"/>
        <v>0</v>
      </c>
      <c r="M57" s="54">
        <f t="shared" si="11"/>
        <v>0</v>
      </c>
      <c r="N57" s="54">
        <f t="shared" si="11"/>
        <v>0</v>
      </c>
      <c r="O57" s="54">
        <f t="shared" si="11"/>
        <v>0</v>
      </c>
      <c r="P57" s="54">
        <f t="shared" si="11"/>
        <v>0</v>
      </c>
    </row>
    <row r="58" spans="1:16" ht="15" customHeight="1" x14ac:dyDescent="0.2">
      <c r="A58" s="48"/>
      <c r="B58" s="55"/>
      <c r="C58" s="56" t="s">
        <v>13</v>
      </c>
      <c r="D58" s="56"/>
      <c r="E58" s="56"/>
      <c r="F58" s="57"/>
      <c r="G58" s="58">
        <f t="shared" ref="G58:P58" si="12">G57+G51</f>
        <v>0</v>
      </c>
      <c r="H58" s="58">
        <f t="shared" si="12"/>
        <v>0</v>
      </c>
      <c r="I58" s="58">
        <f t="shared" si="12"/>
        <v>0</v>
      </c>
      <c r="J58" s="58">
        <f t="shared" si="12"/>
        <v>0</v>
      </c>
      <c r="K58" s="58">
        <f t="shared" si="12"/>
        <v>0</v>
      </c>
      <c r="L58" s="58">
        <f t="shared" si="12"/>
        <v>0</v>
      </c>
      <c r="M58" s="58">
        <f t="shared" si="12"/>
        <v>0</v>
      </c>
      <c r="N58" s="58">
        <f t="shared" si="12"/>
        <v>0</v>
      </c>
      <c r="O58" s="58">
        <f t="shared" si="12"/>
        <v>0</v>
      </c>
      <c r="P58" s="58">
        <f t="shared" si="12"/>
        <v>0</v>
      </c>
    </row>
    <row r="59" spans="1:16" ht="15" customHeight="1" x14ac:dyDescent="0.25">
      <c r="A59" s="48"/>
      <c r="B59" s="117" t="s">
        <v>98</v>
      </c>
      <c r="C59" s="105"/>
      <c r="D59" s="105"/>
      <c r="E59" s="105"/>
      <c r="F59" s="106"/>
      <c r="G59" s="107">
        <f t="shared" ref="G59:P59" si="13">G22+G44+G58</f>
        <v>0</v>
      </c>
      <c r="H59" s="107">
        <f t="shared" si="13"/>
        <v>0</v>
      </c>
      <c r="I59" s="107">
        <f t="shared" si="13"/>
        <v>0</v>
      </c>
      <c r="J59" s="107">
        <f t="shared" si="13"/>
        <v>0</v>
      </c>
      <c r="K59" s="107">
        <f t="shared" si="13"/>
        <v>0</v>
      </c>
      <c r="L59" s="107">
        <f t="shared" si="13"/>
        <v>0</v>
      </c>
      <c r="M59" s="107">
        <f t="shared" si="13"/>
        <v>0</v>
      </c>
      <c r="N59" s="107">
        <f t="shared" si="13"/>
        <v>0</v>
      </c>
      <c r="O59" s="107">
        <f t="shared" si="13"/>
        <v>0</v>
      </c>
      <c r="P59" s="107">
        <f t="shared" si="13"/>
        <v>0</v>
      </c>
    </row>
  </sheetData>
  <sheetProtection sheet="1" selectLockedCells="1"/>
  <mergeCells count="9">
    <mergeCell ref="B1:P1"/>
    <mergeCell ref="C45:F45"/>
    <mergeCell ref="B5:F7"/>
    <mergeCell ref="C9:F9"/>
    <mergeCell ref="C23:F23"/>
    <mergeCell ref="G6:G7"/>
    <mergeCell ref="E3:F3"/>
    <mergeCell ref="E2:F2"/>
    <mergeCell ref="H6:P6"/>
  </mergeCells>
  <phoneticPr fontId="0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2</oddHeader>
    <oddFooter>&amp;LPage 15&amp;Rver 3 (12/2007)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485F3-E51A-477A-A6FE-2999F41C117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8D903907-5D88-417A-8AA9-3813CB4A23E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D08AB98-7CF7-42DD-AAD6-41A7CB307F9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A392C97-952D-48C3-8F95-252BFA4AF9E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399E88F4-C1B5-4608-B637-3254B6414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61</vt:i4>
      </vt:variant>
    </vt:vector>
  </HeadingPairs>
  <TitlesOfParts>
    <vt:vector size="85" baseType="lpstr">
      <vt:lpstr>Worksheet</vt:lpstr>
      <vt:lpstr>CoverLetter</vt:lpstr>
      <vt:lpstr>Unspent</vt:lpstr>
      <vt:lpstr>County Summary</vt:lpstr>
      <vt:lpstr>CPP</vt:lpstr>
      <vt:lpstr>WET Summary</vt:lpstr>
      <vt:lpstr>PEI</vt:lpstr>
      <vt:lpstr>CSS Summary</vt:lpstr>
      <vt:lpstr>CSS Work Plan Summary</vt:lpstr>
      <vt:lpstr>CSS Pgm 1</vt:lpstr>
      <vt:lpstr>CSS Pgm 2</vt:lpstr>
      <vt:lpstr>CSS Pgm 3</vt:lpstr>
      <vt:lpstr>CSS Pgm 4</vt:lpstr>
      <vt:lpstr>CSS Pgm 5</vt:lpstr>
      <vt:lpstr>CSS Pgm 6</vt:lpstr>
      <vt:lpstr>CSS Pgm 7</vt:lpstr>
      <vt:lpstr>CSS Pgm 8</vt:lpstr>
      <vt:lpstr>CSS Pgm 9</vt:lpstr>
      <vt:lpstr>CSS Pgm 10</vt:lpstr>
      <vt:lpstr>CSS Pgm 11</vt:lpstr>
      <vt:lpstr>CSS Pgm 12</vt:lpstr>
      <vt:lpstr>CSS Pgm 13</vt:lpstr>
      <vt:lpstr>CSS Pgm 14</vt:lpstr>
      <vt:lpstr>CSS Pgm 15</vt:lpstr>
      <vt:lpstr>'County Summary'!_Pgm1</vt:lpstr>
      <vt:lpstr>CPP!_Pgm1</vt:lpstr>
      <vt:lpstr>'CSS Summary'!_Pgm1</vt:lpstr>
      <vt:lpstr>'CSS Work Plan Summary'!_Pgm1</vt:lpstr>
      <vt:lpstr>PEI!_Pgm1</vt:lpstr>
      <vt:lpstr>Unspent!_Pgm1</vt:lpstr>
      <vt:lpstr>'WET Summary'!_Pgm1</vt:lpstr>
      <vt:lpstr>_Pgm1</vt:lpstr>
      <vt:lpstr>_pgm10</vt:lpstr>
      <vt:lpstr>_Pgm11</vt:lpstr>
      <vt:lpstr>_Pgm12</vt:lpstr>
      <vt:lpstr>_Pgm13</vt:lpstr>
      <vt:lpstr>_Pgm14</vt:lpstr>
      <vt:lpstr>_Pgm15</vt:lpstr>
      <vt:lpstr>'CSS Pgm 10'!_Pgm2</vt:lpstr>
      <vt:lpstr>'CSS Pgm 11'!_Pgm2</vt:lpstr>
      <vt:lpstr>'CSS Pgm 12'!_Pgm2</vt:lpstr>
      <vt:lpstr>'CSS Pgm 13'!_Pgm2</vt:lpstr>
      <vt:lpstr>'CSS Pgm 14'!_Pgm2</vt:lpstr>
      <vt:lpstr>'CSS Pgm 15'!_Pgm2</vt:lpstr>
      <vt:lpstr>'CSS Pgm 3'!_Pgm2</vt:lpstr>
      <vt:lpstr>'CSS Pgm 4'!_Pgm2</vt:lpstr>
      <vt:lpstr>'CSS Pgm 5'!_Pgm2</vt:lpstr>
      <vt:lpstr>'CSS Pgm 6'!_Pgm2</vt:lpstr>
      <vt:lpstr>'CSS Pgm 7'!_Pgm2</vt:lpstr>
      <vt:lpstr>'CSS Pgm 8'!_Pgm2</vt:lpstr>
      <vt:lpstr>'CSS Pgm 9'!_Pgm2</vt:lpstr>
      <vt:lpstr>_Pgm2</vt:lpstr>
      <vt:lpstr>_Pgm3</vt:lpstr>
      <vt:lpstr>_Pgm4</vt:lpstr>
      <vt:lpstr>_Pgm5</vt:lpstr>
      <vt:lpstr>_Pgm6</vt:lpstr>
      <vt:lpstr>_Pgm7</vt:lpstr>
      <vt:lpstr>_Pgm8</vt:lpstr>
      <vt:lpstr>_Pgm9</vt:lpstr>
      <vt:lpstr>CSS_Pgm1</vt:lpstr>
      <vt:lpstr>'County Summary'!Print_Area</vt:lpstr>
      <vt:lpstr>CoverLetter!Print_Area</vt:lpstr>
      <vt:lpstr>CPP!Print_Area</vt:lpstr>
      <vt:lpstr>'CSS Pgm 1'!Print_Area</vt:lpstr>
      <vt:lpstr>'CSS Pgm 10'!Print_Area</vt:lpstr>
      <vt:lpstr>'CSS Pgm 11'!Print_Area</vt:lpstr>
      <vt:lpstr>'CSS Pgm 12'!Print_Area</vt:lpstr>
      <vt:lpstr>'CSS Pgm 13'!Print_Area</vt:lpstr>
      <vt:lpstr>'CSS Pgm 14'!Print_Area</vt:lpstr>
      <vt:lpstr>'CSS Pgm 15'!Print_Area</vt:lpstr>
      <vt:lpstr>'CSS Pgm 2'!Print_Area</vt:lpstr>
      <vt:lpstr>'CSS Pgm 3'!Print_Area</vt:lpstr>
      <vt:lpstr>'CSS Pgm 4'!Print_Area</vt:lpstr>
      <vt:lpstr>'CSS Pgm 5'!Print_Area</vt:lpstr>
      <vt:lpstr>'CSS Pgm 6'!Print_Area</vt:lpstr>
      <vt:lpstr>'CSS Pgm 7'!Print_Area</vt:lpstr>
      <vt:lpstr>'CSS Pgm 8'!Print_Area</vt:lpstr>
      <vt:lpstr>'CSS Pgm 9'!Print_Area</vt:lpstr>
      <vt:lpstr>'CSS Summary'!Print_Area</vt:lpstr>
      <vt:lpstr>'CSS Work Plan Summary'!Print_Area</vt:lpstr>
      <vt:lpstr>PEI!Print_Area</vt:lpstr>
      <vt:lpstr>Unspent!Print_Area</vt:lpstr>
      <vt:lpstr>'WET Summary'!Print_Area</vt:lpstr>
      <vt:lpstr>Worksheet!Print_Area</vt:lpstr>
      <vt:lpstr>CoverLetter!Print_Titles</vt:lpstr>
    </vt:vector>
  </TitlesOfParts>
  <Manager>Mark Heilman / Carol Hood</Manager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Santa_Cruz_FY07-08_RER_ADA</dc:title>
  <dc:subject>CSS Programs</dc:subject>
  <dc:creator>Mike Geiss</dc:creator>
  <cp:keywords>Santa_Cruz_FY07-08_RER_ADA</cp:keywords>
  <cp:lastModifiedBy>westj</cp:lastModifiedBy>
  <cp:lastPrinted>2009-10-08T19:48:20Z</cp:lastPrinted>
  <dcterms:created xsi:type="dcterms:W3CDTF">2007-09-20T19:02:25Z</dcterms:created>
  <dcterms:modified xsi:type="dcterms:W3CDTF">2020-11-06T04:13:04Z</dcterms:modified>
  <cp:category>CSS Programs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display_urn:schemas-microsoft-com:office:office#Author">
    <vt:lpwstr>John SS01. Trapper</vt:lpwstr>
  </property>
  <property fmtid="{D5CDD505-2E9C-101B-9397-08002B2CF9AE}" pid="4" name="_dlc_DocId">
    <vt:lpwstr>DHCSDOC-1363137784-1503</vt:lpwstr>
  </property>
  <property fmtid="{D5CDD505-2E9C-101B-9397-08002B2CF9AE}" pid="5" name="_dlc_DocIdItemGuid">
    <vt:lpwstr>a268f3c2-bd2e-4fad-9491-a09d8cc410cb</vt:lpwstr>
  </property>
  <property fmtid="{D5CDD505-2E9C-101B-9397-08002B2CF9AE}" pid="6" name="_dlc_DocIdUrl">
    <vt:lpwstr>http://dhcs2016prod:88/services/MH/_layouts/15/DocIdRedir.aspx?ID=DHCSDOC-1363137784-1503, DHCSDOC-1363137784-1503</vt:lpwstr>
  </property>
  <property fmtid="{D5CDD505-2E9C-101B-9397-08002B2CF9AE}" pid="7" name="ContentTypeId">
    <vt:lpwstr>0x0101000DD778A44A894D44A57135C48A267F0A</vt:lpwstr>
  </property>
</Properties>
</file>