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EA3AA60-87BC-4109-B840-C8B87FDF3CF3}" xr6:coauthVersionLast="45" xr6:coauthVersionMax="45" xr10:uidLastSave="{00000000-0000-0000-0000-000000000000}"/>
  <bookViews>
    <workbookView xWindow="-120" yWindow="-120" windowWidth="20730" windowHeight="10545"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Summary'!$A$1:$E$37</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D17" i="12" l="1"/>
  <c r="D7" i="12"/>
  <c r="G66" i="11"/>
  <c r="G80" i="11" s="1"/>
  <c r="D6" i="12"/>
  <c r="D18" i="12"/>
  <c r="I67" i="11"/>
  <c r="D19" i="12"/>
  <c r="D23" i="12"/>
  <c r="D22" i="12"/>
  <c r="D21" i="12"/>
  <c r="D24" i="12"/>
  <c r="K46" i="11"/>
  <c r="K45" i="11"/>
  <c r="K44" i="11"/>
  <c r="J46" i="11"/>
  <c r="J45" i="11"/>
  <c r="J44" i="11"/>
  <c r="J40" i="11"/>
  <c r="J41" i="11"/>
  <c r="I46" i="11"/>
  <c r="I45" i="11"/>
  <c r="I44" i="11"/>
  <c r="R44" i="11"/>
  <c r="H46" i="11"/>
  <c r="H45" i="11"/>
  <c r="H44" i="11"/>
  <c r="G46" i="11"/>
  <c r="R46" i="11" s="1"/>
  <c r="G45" i="11"/>
  <c r="R45" i="11"/>
  <c r="G44" i="11"/>
  <c r="E4" i="12"/>
  <c r="F4" i="8"/>
  <c r="H39" i="11"/>
  <c r="H40" i="11"/>
  <c r="H82" i="11"/>
  <c r="D20" i="12"/>
  <c r="D10" i="12"/>
  <c r="H66" i="11"/>
  <c r="D9" i="12"/>
  <c r="J66" i="11" s="1"/>
  <c r="D8" i="12"/>
  <c r="D26" i="12"/>
  <c r="D25" i="12"/>
  <c r="H67" i="11" s="1"/>
  <c r="K81" i="11"/>
  <c r="K80" i="11"/>
  <c r="K79" i="11"/>
  <c r="G75" i="11"/>
  <c r="R75" i="11" s="1"/>
  <c r="G55" i="11"/>
  <c r="G56" i="11" s="1"/>
  <c r="I37" i="11"/>
  <c r="I38" i="11"/>
  <c r="J78" i="11"/>
  <c r="H78" i="11"/>
  <c r="K36" i="11"/>
  <c r="R36" i="11" s="1"/>
  <c r="K78" i="11"/>
  <c r="R78" i="11" s="1"/>
  <c r="K35" i="11"/>
  <c r="I26" i="11"/>
  <c r="I82" i="11" s="1"/>
  <c r="H26" i="11"/>
  <c r="H28" i="11" s="1"/>
  <c r="G26" i="11"/>
  <c r="R26" i="11" s="1"/>
  <c r="Q5" i="11"/>
  <c r="D4" i="10"/>
  <c r="D5" i="11"/>
  <c r="B4" i="12"/>
  <c r="B4" i="5"/>
  <c r="B4" i="2"/>
  <c r="C4" i="7"/>
  <c r="E4" i="7"/>
  <c r="G4" i="5"/>
  <c r="G4" i="2"/>
  <c r="M23" i="11"/>
  <c r="D4" i="9"/>
  <c r="R69" i="11"/>
  <c r="R68" i="11"/>
  <c r="R65" i="11"/>
  <c r="N70" i="11"/>
  <c r="L70" i="11"/>
  <c r="K70" i="11"/>
  <c r="R53" i="11"/>
  <c r="H56" i="11"/>
  <c r="I56" i="11"/>
  <c r="R20" i="11"/>
  <c r="R19" i="11"/>
  <c r="M70" i="11"/>
  <c r="P70" i="11"/>
  <c r="Q70" i="11"/>
  <c r="Q28" i="11"/>
  <c r="Q83" i="11" s="1"/>
  <c r="Q23" i="11"/>
  <c r="O82" i="11"/>
  <c r="O84" i="11"/>
  <c r="O81" i="11"/>
  <c r="O28" i="11"/>
  <c r="O23" i="11"/>
  <c r="N78" i="11"/>
  <c r="N77" i="11"/>
  <c r="N76" i="11"/>
  <c r="N75" i="11"/>
  <c r="N84" i="11" s="1"/>
  <c r="M81" i="11"/>
  <c r="M80" i="11"/>
  <c r="M79" i="11"/>
  <c r="R21" i="11"/>
  <c r="M82" i="11"/>
  <c r="M78" i="11"/>
  <c r="M77" i="11"/>
  <c r="M84" i="11" s="1"/>
  <c r="M76" i="11"/>
  <c r="M75" i="11"/>
  <c r="L78" i="11"/>
  <c r="L77" i="11"/>
  <c r="L76" i="11"/>
  <c r="L75" i="11"/>
  <c r="K76" i="11"/>
  <c r="K75" i="11"/>
  <c r="K74" i="11"/>
  <c r="J77" i="11"/>
  <c r="J76" i="11"/>
  <c r="J75" i="11"/>
  <c r="J74" i="11"/>
  <c r="J73" i="11"/>
  <c r="R73" i="11"/>
  <c r="I79" i="11"/>
  <c r="I78" i="11"/>
  <c r="I77" i="11"/>
  <c r="I76" i="11"/>
  <c r="I75" i="11"/>
  <c r="H77" i="11"/>
  <c r="H76" i="11"/>
  <c r="H75" i="11"/>
  <c r="G79" i="11"/>
  <c r="G78" i="11"/>
  <c r="G77" i="11"/>
  <c r="O70" i="11"/>
  <c r="R64" i="11"/>
  <c r="R63" i="11"/>
  <c r="R61" i="11"/>
  <c r="R60" i="11"/>
  <c r="R59" i="11"/>
  <c r="R58" i="11"/>
  <c r="R34" i="11"/>
  <c r="R33" i="11"/>
  <c r="R32" i="11"/>
  <c r="R31" i="11"/>
  <c r="O41" i="11"/>
  <c r="O47" i="11"/>
  <c r="O48" i="11" s="1"/>
  <c r="N41" i="11"/>
  <c r="N47" i="11"/>
  <c r="N48" i="11"/>
  <c r="M41" i="11"/>
  <c r="M47" i="11" s="1"/>
  <c r="M48" i="11" s="1"/>
  <c r="L41" i="11"/>
  <c r="L47" i="11"/>
  <c r="L48" i="11" s="1"/>
  <c r="P28" i="11"/>
  <c r="M28" i="11"/>
  <c r="I28" i="11"/>
  <c r="R27" i="11"/>
  <c r="R25" i="11"/>
  <c r="R28" i="11" s="1"/>
  <c r="R22" i="11"/>
  <c r="R18" i="11"/>
  <c r="R17" i="11"/>
  <c r="R16" i="11"/>
  <c r="R15" i="11"/>
  <c r="R14" i="11"/>
  <c r="R13" i="11"/>
  <c r="R12" i="11"/>
  <c r="P23" i="11"/>
  <c r="N23" i="11"/>
  <c r="L23" i="11"/>
  <c r="K23" i="11"/>
  <c r="J23" i="11"/>
  <c r="I23" i="11"/>
  <c r="H23" i="11"/>
  <c r="R23" i="11" s="1"/>
  <c r="G23" i="11"/>
  <c r="R74" i="11"/>
  <c r="L84" i="11"/>
  <c r="Q42" i="11"/>
  <c r="R42" i="11"/>
  <c r="H46" i="2"/>
  <c r="H47" i="2" s="1"/>
  <c r="H51" i="2" s="1"/>
  <c r="J18" i="6"/>
  <c r="J42" i="6" s="1"/>
  <c r="J43" i="6" s="1"/>
  <c r="J30" i="6"/>
  <c r="K18" i="6"/>
  <c r="K42" i="6"/>
  <c r="K30" i="6"/>
  <c r="I18" i="6"/>
  <c r="I30" i="6"/>
  <c r="I42" i="6" s="1"/>
  <c r="H18" i="6"/>
  <c r="H30" i="6"/>
  <c r="H42" i="6" s="1"/>
  <c r="G18" i="6"/>
  <c r="G42" i="6" s="1"/>
  <c r="G30" i="6"/>
  <c r="F18" i="6"/>
  <c r="F42" i="6"/>
  <c r="F30" i="6"/>
  <c r="J2" i="6"/>
  <c r="D2" i="6"/>
  <c r="G41" i="4"/>
  <c r="H41" i="4"/>
  <c r="I41" i="4"/>
  <c r="J41" i="4"/>
  <c r="K41" i="4"/>
  <c r="L41" i="4"/>
  <c r="G30" i="4"/>
  <c r="G42" i="4" s="1"/>
  <c r="H30" i="4"/>
  <c r="I30" i="4"/>
  <c r="J30" i="4"/>
  <c r="K30" i="4"/>
  <c r="L30" i="4"/>
  <c r="L42" i="4"/>
  <c r="G18" i="4"/>
  <c r="H18" i="4"/>
  <c r="H42" i="4" s="1"/>
  <c r="I18" i="4"/>
  <c r="I42" i="4"/>
  <c r="J18" i="4"/>
  <c r="J42" i="4"/>
  <c r="K18" i="4"/>
  <c r="K42" i="4" s="1"/>
  <c r="L18" i="4"/>
  <c r="F41" i="4"/>
  <c r="F30" i="4"/>
  <c r="F42" i="4"/>
  <c r="F18" i="4"/>
  <c r="K2" i="4"/>
  <c r="D2" i="4"/>
  <c r="F41" i="3"/>
  <c r="F42" i="3" s="1"/>
  <c r="F45" i="3" s="1"/>
  <c r="F30" i="3"/>
  <c r="F18" i="3"/>
  <c r="G2" i="3"/>
  <c r="D2" i="3"/>
  <c r="B4" i="10"/>
  <c r="B4" i="9"/>
  <c r="D4" i="8"/>
  <c r="Q48" i="11"/>
  <c r="R54" i="11"/>
  <c r="J79" i="11"/>
  <c r="H79" i="11"/>
  <c r="R79" i="11" s="1"/>
  <c r="G89" i="11"/>
  <c r="G33" i="5"/>
  <c r="G45" i="1"/>
  <c r="G11" i="2"/>
  <c r="G28" i="2"/>
  <c r="G49" i="2"/>
  <c r="G46" i="1"/>
  <c r="E13" i="7"/>
  <c r="F24" i="8"/>
  <c r="G11" i="1"/>
  <c r="E9" i="7"/>
  <c r="G38" i="1"/>
  <c r="E14" i="7"/>
  <c r="G8" i="1"/>
  <c r="G7" i="1"/>
  <c r="G32" i="1" s="1"/>
  <c r="G50" i="1" s="1"/>
  <c r="G54" i="1" s="1"/>
  <c r="G51" i="1"/>
  <c r="G37" i="1"/>
  <c r="G10" i="5"/>
  <c r="G32" i="5" s="1"/>
  <c r="G35" i="5" s="1"/>
  <c r="E10" i="7"/>
  <c r="G9" i="5"/>
  <c r="G39" i="1"/>
  <c r="G10" i="1"/>
  <c r="F26" i="8"/>
  <c r="G36" i="1"/>
  <c r="G53" i="1"/>
  <c r="G50" i="2"/>
  <c r="G34" i="5"/>
  <c r="G9" i="1"/>
  <c r="G11" i="5"/>
  <c r="G34" i="1"/>
  <c r="G49" i="1" s="1"/>
  <c r="G35" i="1"/>
  <c r="G12" i="1"/>
  <c r="F8" i="8"/>
  <c r="G8" i="5"/>
  <c r="G13" i="1"/>
  <c r="G40" i="1"/>
  <c r="G8" i="2"/>
  <c r="G22" i="2" s="1"/>
  <c r="G25" i="2"/>
  <c r="G44" i="1"/>
  <c r="G17" i="1"/>
  <c r="G42" i="1"/>
  <c r="G15" i="1"/>
  <c r="G9" i="2"/>
  <c r="G26" i="2"/>
  <c r="G10" i="2"/>
  <c r="G27" i="2"/>
  <c r="F38" i="8"/>
  <c r="G7" i="2"/>
  <c r="G24" i="2"/>
  <c r="G43" i="1"/>
  <c r="G16" i="1"/>
  <c r="G41" i="1"/>
  <c r="G14" i="1"/>
  <c r="F7" i="8"/>
  <c r="F19" i="8" s="1"/>
  <c r="F22" i="8" s="1"/>
  <c r="G52" i="1"/>
  <c r="F25" i="8"/>
  <c r="F37" i="8"/>
  <c r="F40" i="8"/>
  <c r="G41" i="2"/>
  <c r="G46" i="2" s="1"/>
  <c r="E8" i="7"/>
  <c r="E12" i="7"/>
  <c r="E15" i="7" s="1"/>
  <c r="G7" i="5"/>
  <c r="G62" i="11"/>
  <c r="R62" i="11" s="1"/>
  <c r="J67" i="11"/>
  <c r="J81" i="11" s="1"/>
  <c r="G67" i="11"/>
  <c r="G39" i="11" s="1"/>
  <c r="D27" i="12"/>
  <c r="G39" i="2"/>
  <c r="R77" i="11"/>
  <c r="H80" i="11"/>
  <c r="I41" i="11"/>
  <c r="I47" i="11" s="1"/>
  <c r="I48" i="11" s="1"/>
  <c r="I80" i="11"/>
  <c r="R38" i="11"/>
  <c r="I70" i="11"/>
  <c r="I81" i="11"/>
  <c r="J47" i="11"/>
  <c r="G70" i="11"/>
  <c r="K40" i="11"/>
  <c r="K55" i="11" s="1"/>
  <c r="R37" i="11"/>
  <c r="K77" i="11"/>
  <c r="R35" i="11"/>
  <c r="H41" i="11"/>
  <c r="H47" i="11" s="1"/>
  <c r="K41" i="11"/>
  <c r="K47" i="11" s="1"/>
  <c r="G43" i="6" l="1"/>
  <c r="F41" i="8"/>
  <c r="H43" i="6"/>
  <c r="J48" i="11"/>
  <c r="K82" i="11"/>
  <c r="K84" i="11" s="1"/>
  <c r="K56" i="11"/>
  <c r="G81" i="11"/>
  <c r="G40" i="11"/>
  <c r="G41" i="11" s="1"/>
  <c r="R39" i="11"/>
  <c r="F43" i="6"/>
  <c r="J80" i="11"/>
  <c r="J70" i="11"/>
  <c r="J55" i="11" s="1"/>
  <c r="R66" i="11"/>
  <c r="G47" i="2"/>
  <c r="G51" i="2" s="1"/>
  <c r="H48" i="11" s="1"/>
  <c r="K45" i="4"/>
  <c r="I45" i="4"/>
  <c r="J45" i="4"/>
  <c r="R67" i="11"/>
  <c r="H70" i="11"/>
  <c r="R70" i="11" s="1"/>
  <c r="H81" i="11"/>
  <c r="H84" i="11" s="1"/>
  <c r="Q84" i="11"/>
  <c r="R83" i="11"/>
  <c r="K48" i="11"/>
  <c r="I84" i="11"/>
  <c r="H45" i="4"/>
  <c r="F45" i="4"/>
  <c r="G45" i="4"/>
  <c r="I43" i="6"/>
  <c r="G76" i="11"/>
  <c r="G28" i="11"/>
  <c r="R80" i="11"/>
  <c r="G47" i="11" l="1"/>
  <c r="R41" i="11"/>
  <c r="J56" i="11"/>
  <c r="P55" i="11"/>
  <c r="P56" i="11" s="1"/>
  <c r="P72" i="11" s="1"/>
  <c r="J82" i="11"/>
  <c r="J84" i="11" s="1"/>
  <c r="R40" i="11"/>
  <c r="G82" i="11"/>
  <c r="R82" i="11" s="1"/>
  <c r="R76" i="11"/>
  <c r="R81" i="11"/>
  <c r="G84" i="11" l="1"/>
  <c r="P84" i="11"/>
  <c r="R72" i="11"/>
  <c r="R56" i="11"/>
  <c r="R55" i="11"/>
  <c r="R47" i="11"/>
  <c r="G48" i="11"/>
  <c r="R48" i="11" s="1"/>
  <c r="R84" i="11" l="1"/>
</calcChain>
</file>

<file path=xl/sharedStrings.xml><?xml version="1.0" encoding="utf-8"?>
<sst xmlns="http://schemas.openxmlformats.org/spreadsheetml/2006/main" count="574" uniqueCount="296">
  <si>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</si>
  <si>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</si>
  <si>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</si>
  <si>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</si>
  <si>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</si>
  <si>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</si>
  <si>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</si>
  <si>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</si>
  <si>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</si>
  <si>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</si>
  <si>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</si>
  <si>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</si>
  <si>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</si>
  <si>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</si>
  <si>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</si>
  <si>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</si>
  <si>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</si>
  <si>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</si>
  <si>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</si>
  <si>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</si>
  <si>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</si>
  <si>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</si>
  <si>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</si>
  <si>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</si>
  <si>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</si>
  <si>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</si>
  <si>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</si>
  <si>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</si>
  <si>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</si>
  <si>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</si>
  <si>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</si>
  <si>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</si>
  <si>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</si>
  <si>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</si>
  <si>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</si>
  <si>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</si>
  <si>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</si>
  <si>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</si>
  <si>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</si>
  <si>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</si>
  <si>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</si>
  <si>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</si>
  <si>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</si>
  <si>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</si>
  <si>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</si>
  <si>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</si>
  <si>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</si>
  <si>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</si>
  <si>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</si>
  <si>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</si>
  <si>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</si>
  <si>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</si>
  <si>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</si>
  <si>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</si>
  <si>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</si>
  <si>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</si>
  <si>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</si>
  <si>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</si>
  <si>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</si>
  <si>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</si>
  <si>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</si>
  <si>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</si>
  <si>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</si>
  <si>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</si>
  <si>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</si>
  <si>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</si>
  <si>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</si>
  <si>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</si>
  <si>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</si>
  <si>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</si>
  <si>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</si>
  <si>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</si>
  <si>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</si>
  <si>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</si>
  <si>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</si>
  <si>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</si>
  <si>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</si>
  <si>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</si>
  <si>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</si>
  <si>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</si>
  <si>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</si>
  <si>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</si>
  <si>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</si>
  <si>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</si>
  <si>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</si>
  <si>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</si>
  <si>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</si>
  <si>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</si>
  <si>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</si>
  <si>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</si>
  <si>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</si>
  <si>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</si>
  <si>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</si>
  <si>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</si>
  <si>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</si>
  <si>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</si>
  <si>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</si>
  <si>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</si>
  <si>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</si>
  <si>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</si>
  <si>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</si>
  <si>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</si>
  <si>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</si>
  <si>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</si>
  <si>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</si>
  <si>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</si>
  <si>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</si>
  <si>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</si>
  <si>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</si>
  <si>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</si>
  <si>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</si>
  <si>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</si>
  <si>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</si>
  <si>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</si>
  <si>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</si>
  <si>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</si>
  <si>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</si>
  <si>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</si>
  <si>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</si>
  <si>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</si>
  <si>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</si>
  <si>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</si>
  <si>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</si>
  <si>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</si>
  <si>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</si>
  <si>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</si>
  <si>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</si>
  <si>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</si>
  <si>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</si>
  <si>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</si>
  <si>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</si>
  <si>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</si>
  <si>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</si>
  <si>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</si>
  <si>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</si>
  <si>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</si>
  <si>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</si>
  <si>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</si>
  <si>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</si>
  <si>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</si>
  <si>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</si>
  <si>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</si>
  <si>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</si>
  <si>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</si>
  <si>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</si>
  <si>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</si>
  <si>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</si>
  <si>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</si>
  <si>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</si>
  <si>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</si>
  <si>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</si>
  <si>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</si>
  <si>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</si>
  <si>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</si>
  <si>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</si>
  <si>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</si>
  <si>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</si>
  <si>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</si>
  <si>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</si>
  <si>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</si>
  <si>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</si>
  <si>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</si>
  <si>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</si>
  <si>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</si>
  <si>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</si>
  <si>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</si>
  <si>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</si>
  <si>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</si>
  <si>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</si>
  <si>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</si>
  <si>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</si>
  <si>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</si>
  <si>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</si>
  <si>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</si>
  <si>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</si>
  <si>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</si>
  <si>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</si>
  <si>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</si>
  <si>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</si>
  <si>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</si>
  <si>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</si>
  <si>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</si>
  <si>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</si>
  <si>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</si>
  <si>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</si>
  <si>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</si>
  <si>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</si>
  <si>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</si>
  <si>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</si>
  <si>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</si>
  <si>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</si>
  <si>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</si>
  <si>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</si>
  <si>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</si>
  <si>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</si>
  <si>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</si>
  <si>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</si>
  <si>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</si>
  <si>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</si>
  <si>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</si>
  <si>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</si>
  <si>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</si>
  <si>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</si>
  <si>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</si>
  <si>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</si>
  <si>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</si>
  <si>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</si>
  <si>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</si>
  <si>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</si>
  <si>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</si>
  <si>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</si>
  <si>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</si>
  <si>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</si>
  <si>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</si>
  <si>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</si>
  <si>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Mental Health Expenditures</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</si>
  <si>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</si>
  <si>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</si>
  <si>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</si>
  <si>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</si>
  <si>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</si>
  <si>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</si>
  <si>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</si>
  <si>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</si>
  <si>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</si>
  <si>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</si>
  <si>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</si>
  <si>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</si>
  <si>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San Francisco County</t>
  </si>
  <si>
    <t>X</t>
  </si>
  <si>
    <t>CSS Full Service Partnership 1. CYF (0-5)</t>
  </si>
  <si>
    <t>CSS Full Service Partnership 2. CYF (6-18)</t>
  </si>
  <si>
    <t>CSS Full Service Partnership 3. TAY (18-24)</t>
  </si>
  <si>
    <t>CSS Full Service Partnership 4. Adults (18-59)</t>
  </si>
  <si>
    <t>CSS Full Service Partnership 5. Older Adults (60+)</t>
  </si>
  <si>
    <t>CSS Full Service Partnership 6. AOT</t>
  </si>
  <si>
    <t xml:space="preserve">CSS Other Non-FSP 1. Behavioral Health Access Center </t>
  </si>
  <si>
    <t xml:space="preserve">CSS Other Non-FSP 2. Prevention and Recovery in Early Psychosis (PREP) </t>
  </si>
  <si>
    <t xml:space="preserve">CSS Other Non-FSP 3. Trauma Recovery </t>
  </si>
  <si>
    <t xml:space="preserve">CSS Other Non-FSP 4. Integration of Behavioral Health and Primary Care </t>
  </si>
  <si>
    <t>CSS Other Non-FSP 5. Integration of Behavioral Health Into the Juvenile Justice System</t>
  </si>
  <si>
    <t xml:space="preserve">CSS Other Non-FSP 6. Dual Diagnosis Residential Treatment </t>
  </si>
  <si>
    <t>CSS Other Non-FSP 7. Peer-to-Peer Supports: Clinic and Community-Based  (50% FSP)</t>
  </si>
  <si>
    <t>CSS Other Non-FSP 8. Vocational Services (45% FSP)</t>
  </si>
  <si>
    <t>CSS Other Non-FSP 9. Emergency Stabilization Housing (60% FSP)</t>
  </si>
  <si>
    <t>CSS Other Non-FSP 10. Housing Placement and Supportive Services (Direct Access to Housing) (30% FSP)</t>
  </si>
  <si>
    <t>CSS Other Non-FSP 11. ROUTZ TAY Transitional Housing (60% FSP)</t>
  </si>
  <si>
    <t>CSS Other Non-FSP 12. Expanding Outpatient MH Clinic Capacity</t>
  </si>
  <si>
    <t>CSS Other Non-FSP 13. Building a Peer-to-Peer Support Network for Transgender Individuals</t>
  </si>
  <si>
    <t xml:space="preserve">CSS Evaluation </t>
  </si>
  <si>
    <t>PEI 1. Stigma Reduction</t>
  </si>
  <si>
    <t>PEI 2. School-Based Mental Health Pomotion (K-12) (50% Prevention)</t>
  </si>
  <si>
    <t>PEI 3. School-Based Mental Health Pomotion (Higher Ed) (50% Prevention)</t>
  </si>
  <si>
    <t>PEI 4. Population Focused Mental Health Promotion and Early Intervention (50% Prevention)</t>
  </si>
  <si>
    <t>PEI 5. Mental Health Consultation and Capacity Building (75% Prevention)</t>
  </si>
  <si>
    <t>PEI 6. Comprehensive Crisis Services (10% Prevention)</t>
  </si>
  <si>
    <t>INN 11. WAIST Nutrition Project</t>
  </si>
  <si>
    <t xml:space="preserve">INN 14. First Impressions </t>
  </si>
  <si>
    <t xml:space="preserve">INN 15. Building a Peer-to-Peer Support Network for Socially Isolated Older Adults </t>
  </si>
  <si>
    <t>INN 16. Building a Peer-to-Peer Support Network for Transgender Individuals</t>
  </si>
  <si>
    <t>INN 17. Hummingbird Place - Peer Respite</t>
  </si>
  <si>
    <t xml:space="preserve">Cap 3.  Sunset Mental Health </t>
  </si>
  <si>
    <t>Cap 6.  South of Market Mental Health</t>
  </si>
  <si>
    <t xml:space="preserve">IT 1. Consumer Portal </t>
  </si>
  <si>
    <t xml:space="preserve">IT 2. Vocational IT </t>
  </si>
  <si>
    <t>IT 3. System Enhancements</t>
  </si>
  <si>
    <t>PEI</t>
  </si>
  <si>
    <t>WET</t>
  </si>
  <si>
    <t>13/14</t>
  </si>
  <si>
    <t>CSS</t>
  </si>
  <si>
    <t>Adjustment to FY 13/14 Cost Report Settlement</t>
  </si>
  <si>
    <t>INN</t>
  </si>
  <si>
    <t>14/15</t>
  </si>
  <si>
    <t>Certain CSS expenditures were reported under INN in the FY 14/15 RER.</t>
  </si>
  <si>
    <t>FY 14/15 Cost Report Settlement</t>
  </si>
  <si>
    <t>Certain WET expenditures were reported under INN in the FY 14/15 RER.</t>
  </si>
  <si>
    <t>Certain CSS and WET expenditures were reported under INN in the FY 14/15 RER.</t>
  </si>
  <si>
    <t>FY 14/15 Expenditure that was not captured in the FY 14/15 RER due to a delayed receipt of the invoice.</t>
  </si>
  <si>
    <r>
      <t>*</t>
    </r>
    <r>
      <rPr>
        <b/>
        <sz val="11"/>
        <rFont val="Arial"/>
        <family val="2"/>
      </rPr>
      <t>Per GASB 34, Paragraph 476:</t>
    </r>
    <r>
      <rPr>
        <sz val="11"/>
        <rFont val="Arial"/>
        <family val="2"/>
      </rPr>
      <t xml:space="preserve">
"Retroactive Application: Adjustments resulting from a change to comply with this Statement—as
with previous GASB Statements—should be treated as adjustments of prior
periods and should be reported as restatements of beginning fund balance, fund
equity, or net assets, as appropriate, for the earliest period restated. Financial
statements of all prior periods presented are not required to be restated (although restatement is permissible)."</t>
    </r>
  </si>
  <si>
    <t>*The adjustment made above due to the FY 13/14 Cost Report Settlement has resulted in a change to the FY 13/14 ending fund balance.  An adjustment is now necessary to offset FY 14/15 expenditures using FY 14/15 revenues, instead of using FY 13/14 revenues.</t>
  </si>
  <si>
    <t>*The adjustment made above due to the FY 13/14 Cost Report Settlement has resulted in a change to the FY 13/14 ending fund balance.  An adjustment is now necessary to offset FY 14/15 expenditures using FY 13/14 revenues, instead of using FY 14/15 revenues.</t>
  </si>
  <si>
    <t>Alyssa Zachariah</t>
  </si>
  <si>
    <t>Budget Analyst</t>
  </si>
  <si>
    <t>(415) 255-3637</t>
  </si>
  <si>
    <t>alyssa.zachariah@sfdph.org</t>
  </si>
  <si>
    <t>Certain PEI expenditures were reported under WET in the FY 14/15 RER.  This adjustment is to transfer the expenditures to the correct component</t>
  </si>
  <si>
    <t>Additional FY 09/10 FFP Revenue Received</t>
  </si>
  <si>
    <t>09/10</t>
  </si>
  <si>
    <t>Additional FY 13/14 FFP Revenue Received</t>
  </si>
  <si>
    <t>FY 14/15 FFP Revenue not previously reported</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</si>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</sst>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quot;$&quot;#,##0.00"/>
    <numFmt numFmtId="166" formatCode="#,##0;\-#,##0;&quot;-&quot;"/>
    <numFmt numFmtId="167" formatCode="_(* #,##0_);_(* \(#,##0\);_(* &quot;-&quot;??_);_(@_)"/>
    <numFmt numFmtId="168" formatCode="_(* #,##0.0000000000_);_(* \(#,##0.0000000000\);_(* &quot;-&quot;??_);_(@_)"/>
    <numFmt numFmtId="169" formatCode="&quot;$&quot;#,##0.0000000000"/>
  </numFmts>
  <fonts count="21"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sz val="10"/>
      <name val="Arial"/>
      <family val="2"/>
    </font>
    <font>
      <b/>
      <vertAlign val="superscript"/>
      <sz val="12"/>
      <name val="Arial"/>
      <family val="2"/>
    </font>
    <font>
      <sz val="11"/>
      <color theme="1"/>
      <name val="Calibri"/>
      <family val="2"/>
      <scheme val="minor"/>
    </font>
    <font>
      <u/>
      <sz val="10"/>
      <color theme="10"/>
      <name val="Arial"/>
      <family val="2"/>
    </font>
    <font>
      <sz val="11"/>
      <color rgb="FFFF0000"/>
      <name val="Arial"/>
      <family val="2"/>
    </font>
    <font>
      <sz val="12"/>
      <color theme="0" tint="-0.499984740745262"/>
      <name val="Arial"/>
      <family val="2"/>
    </font>
    <font>
      <sz val="12"/>
      <color rgb="FFFF0000"/>
      <name val="Arial"/>
      <family val="2"/>
    </font>
    <font>
      <u/>
      <sz val="12"/>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1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9">
    <xf numFmtId="0" fontId="0" fillId="0" borderId="0"/>
    <xf numFmtId="166" fontId="7" fillId="0" borderId="0" applyFill="0" applyBorder="0" applyAlignment="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applyNumberFormat="0" applyFill="0" applyBorder="0" applyAlignment="0" applyProtection="0"/>
    <xf numFmtId="0" fontId="15" fillId="0" borderId="0"/>
    <xf numFmtId="0" fontId="15" fillId="0" borderId="0"/>
    <xf numFmtId="0" fontId="6" fillId="0" borderId="0"/>
    <xf numFmtId="0" fontId="4" fillId="0" borderId="0"/>
    <xf numFmtId="0" fontId="15" fillId="0" borderId="0"/>
    <xf numFmtId="0" fontId="15" fillId="0" borderId="0"/>
    <xf numFmtId="0" fontId="4" fillId="0" borderId="0"/>
    <xf numFmtId="0" fontId="4" fillId="0" borderId="0"/>
    <xf numFmtId="0" fontId="7"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55">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9" applyNumberFormat="1" applyFont="1" applyBorder="1" applyAlignment="1" applyProtection="1"/>
    <xf numFmtId="164" fontId="0" fillId="0" borderId="16" xfId="8" applyNumberFormat="1" applyFont="1" applyBorder="1" applyAlignment="1" applyProtection="1">
      <protection hidden="1"/>
    </xf>
    <xf numFmtId="164" fontId="4" fillId="0" borderId="17" xfId="9" applyNumberFormat="1" applyFont="1" applyBorder="1" applyAlignment="1" applyProtection="1">
      <protection locked="0"/>
    </xf>
    <xf numFmtId="164" fontId="4" fillId="0" borderId="18" xfId="9" applyNumberFormat="1" applyFont="1" applyBorder="1" applyAlignment="1" applyProtection="1">
      <protection locked="0"/>
    </xf>
    <xf numFmtId="164" fontId="4" fillId="0" borderId="19" xfId="9" applyNumberFormat="1" applyFont="1" applyBorder="1" applyAlignment="1" applyProtection="1">
      <protection locked="0"/>
    </xf>
    <xf numFmtId="164" fontId="4" fillId="0" borderId="17" xfId="9" applyNumberFormat="1" applyFont="1" applyBorder="1" applyAlignment="1" applyProtection="1"/>
    <xf numFmtId="164" fontId="4" fillId="0" borderId="18" xfId="9" applyNumberFormat="1" applyFont="1" applyBorder="1" applyAlignment="1" applyProtection="1"/>
    <xf numFmtId="164" fontId="4" fillId="0" borderId="19" xfId="9" applyNumberFormat="1" applyFont="1" applyBorder="1" applyAlignment="1" applyProtection="1"/>
    <xf numFmtId="0" fontId="0" fillId="0" borderId="20" xfId="0" applyBorder="1"/>
    <xf numFmtId="0" fontId="0" fillId="0" borderId="21" xfId="0" applyBorder="1"/>
    <xf numFmtId="164" fontId="4" fillId="0" borderId="22" xfId="9" applyNumberFormat="1" applyFont="1" applyBorder="1" applyAlignment="1" applyProtection="1">
      <protection locked="0"/>
    </xf>
    <xf numFmtId="164" fontId="4" fillId="0" borderId="23" xfId="9" applyNumberFormat="1" applyFont="1" applyBorder="1" applyAlignment="1" applyProtection="1">
      <protection locked="0"/>
    </xf>
    <xf numFmtId="164" fontId="4" fillId="0" borderId="24" xfId="9" applyNumberFormat="1" applyFont="1" applyBorder="1" applyAlignment="1" applyProtection="1">
      <protection locked="0"/>
    </xf>
    <xf numFmtId="0" fontId="0" fillId="0" borderId="25" xfId="0" applyBorder="1"/>
    <xf numFmtId="164" fontId="4" fillId="0" borderId="26" xfId="9" applyNumberFormat="1" applyFont="1" applyBorder="1" applyAlignment="1" applyProtection="1">
      <protection hidden="1"/>
    </xf>
    <xf numFmtId="164" fontId="4" fillId="0" borderId="27" xfId="9" applyNumberFormat="1" applyFont="1" applyBorder="1" applyAlignment="1" applyProtection="1">
      <protection hidden="1"/>
    </xf>
    <xf numFmtId="164" fontId="4" fillId="0" borderId="28" xfId="9" applyNumberFormat="1" applyFont="1" applyBorder="1" applyAlignment="1" applyProtection="1">
      <protection hidden="1"/>
    </xf>
    <xf numFmtId="0" fontId="0" fillId="0" borderId="29" xfId="0" applyBorder="1"/>
    <xf numFmtId="164" fontId="0" fillId="0" borderId="30" xfId="9" applyNumberFormat="1" applyFont="1" applyBorder="1" applyAlignment="1" applyProtection="1">
      <protection hidden="1"/>
    </xf>
    <xf numFmtId="164" fontId="4" fillId="0" borderId="26" xfId="9" applyNumberFormat="1" applyFont="1" applyBorder="1" applyAlignment="1" applyProtection="1"/>
    <xf numFmtId="164" fontId="4" fillId="0" borderId="27" xfId="9" applyNumberFormat="1" applyFont="1" applyBorder="1" applyAlignment="1" applyProtection="1"/>
    <xf numFmtId="164" fontId="4" fillId="0" borderId="28" xfId="9" applyNumberFormat="1" applyFont="1" applyBorder="1" applyAlignment="1" applyProtection="1"/>
    <xf numFmtId="164" fontId="0" fillId="0" borderId="30" xfId="9" applyNumberFormat="1" applyFont="1" applyBorder="1" applyAlignment="1" applyProtection="1"/>
    <xf numFmtId="164" fontId="4" fillId="0" borderId="22" xfId="9" applyNumberFormat="1" applyFont="1" applyBorder="1" applyAlignment="1" applyProtection="1"/>
    <xf numFmtId="164" fontId="4" fillId="0" borderId="23" xfId="9" applyNumberFormat="1" applyFont="1" applyBorder="1" applyAlignment="1" applyProtection="1"/>
    <xf numFmtId="164" fontId="4" fillId="0" borderId="24" xfId="9" applyNumberFormat="1" applyFont="1" applyBorder="1" applyAlignment="1" applyProtection="1"/>
    <xf numFmtId="164" fontId="4" fillId="0" borderId="26" xfId="9" applyNumberFormat="1" applyFont="1" applyBorder="1" applyAlignment="1" applyProtection="1">
      <protection locked="0"/>
    </xf>
    <xf numFmtId="164" fontId="4" fillId="0" borderId="27" xfId="9" applyNumberFormat="1" applyFont="1" applyBorder="1" applyAlignment="1" applyProtection="1">
      <protection locked="0"/>
    </xf>
    <xf numFmtId="164" fontId="4" fillId="0" borderId="28" xfId="9"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9" applyNumberFormat="1" applyFont="1" applyBorder="1" applyAlignment="1" applyProtection="1">
      <protection hidden="1"/>
    </xf>
    <xf numFmtId="164" fontId="0" fillId="0" borderId="33" xfId="9" applyNumberFormat="1" applyFont="1" applyBorder="1" applyAlignment="1" applyProtection="1"/>
    <xf numFmtId="164" fontId="0" fillId="0" borderId="33" xfId="8" applyNumberFormat="1" applyFont="1" applyBorder="1" applyAlignment="1" applyProtection="1">
      <protection hidden="1"/>
    </xf>
    <xf numFmtId="164" fontId="0" fillId="0" borderId="34" xfId="8" applyNumberFormat="1" applyFont="1" applyBorder="1" applyAlignment="1" applyProtection="1">
      <protection hidden="1"/>
    </xf>
    <xf numFmtId="164" fontId="0" fillId="0" borderId="35" xfId="8"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9" applyNumberFormat="1" applyFont="1" applyBorder="1" applyAlignment="1" applyProtection="1"/>
    <xf numFmtId="164" fontId="4" fillId="0" borderId="40" xfId="9" applyNumberFormat="1" applyFont="1" applyBorder="1" applyAlignment="1" applyProtection="1"/>
    <xf numFmtId="164" fontId="4" fillId="0" borderId="41" xfId="9" applyNumberFormat="1" applyFont="1" applyBorder="1" applyAlignment="1" applyProtection="1"/>
    <xf numFmtId="164" fontId="4" fillId="0" borderId="42" xfId="9" applyNumberFormat="1" applyFont="1" applyBorder="1" applyAlignment="1" applyProtection="1"/>
    <xf numFmtId="164" fontId="4" fillId="0" borderId="43" xfId="9" applyNumberFormat="1" applyFont="1" applyBorder="1" applyAlignment="1" applyProtection="1"/>
    <xf numFmtId="164" fontId="4" fillId="0" borderId="44" xfId="9"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8" fillId="2" borderId="9" xfId="0" applyFont="1" applyFill="1" applyBorder="1" applyAlignment="1" applyProtection="1">
      <alignment horizontal="center" vertical="center"/>
      <protection locked="0"/>
    </xf>
    <xf numFmtId="0" fontId="9" fillId="0" borderId="47" xfId="0" applyFont="1" applyBorder="1" applyProtection="1">
      <protection locked="0"/>
    </xf>
    <xf numFmtId="0" fontId="8" fillId="2" borderId="7" xfId="0" applyFont="1" applyFill="1" applyBorder="1" applyAlignment="1" applyProtection="1">
      <alignment horizontal="center" vertical="center"/>
      <protection locked="0"/>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0" borderId="0" xfId="0" applyNumberFormat="1" applyFont="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8" fillId="2" borderId="0" xfId="0" applyFont="1" applyFill="1" applyBorder="1" applyAlignment="1" applyProtection="1">
      <alignment vertical="center"/>
      <protection hidden="1"/>
    </xf>
    <xf numFmtId="0" fontId="11" fillId="0" borderId="0" xfId="0" applyFont="1" applyProtection="1">
      <protection hidden="1"/>
    </xf>
    <xf numFmtId="0" fontId="0" fillId="0" borderId="0" xfId="0" applyProtection="1">
      <protection hidden="1"/>
    </xf>
    <xf numFmtId="0" fontId="3" fillId="0" borderId="15" xfId="0" applyFont="1" applyBorder="1" applyAlignment="1" applyProtection="1">
      <alignment horizontal="center" wrapText="1"/>
      <protection hidden="1"/>
    </xf>
    <xf numFmtId="0" fontId="0" fillId="0" borderId="0" xfId="0" applyAlignment="1" applyProtection="1">
      <alignment wrapText="1"/>
      <protection hidden="1"/>
    </xf>
    <xf numFmtId="0" fontId="0" fillId="3" borderId="48" xfId="0" applyFill="1" applyBorder="1" applyAlignment="1" applyProtection="1">
      <protection hidden="1"/>
    </xf>
    <xf numFmtId="0" fontId="3" fillId="0" borderId="49" xfId="0" applyFont="1" applyBorder="1" applyAlignment="1" applyProtection="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9"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3" fillId="0" borderId="8" xfId="0" applyFont="1" applyBorder="1" applyAlignment="1" applyProtection="1">
      <protection hidden="1"/>
    </xf>
    <xf numFmtId="0" fontId="3" fillId="0" borderId="5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51" xfId="0" applyFont="1" applyBorder="1" applyAlignment="1" applyProtection="1">
      <alignment vertical="center"/>
      <protection hidden="1"/>
    </xf>
    <xf numFmtId="0" fontId="3" fillId="0" borderId="52" xfId="0" applyFont="1" applyBorder="1" applyAlignment="1" applyProtection="1">
      <alignment vertical="center"/>
      <protection hidden="1"/>
    </xf>
    <xf numFmtId="9" fontId="0" fillId="0" borderId="0" xfId="62" applyFont="1" applyProtection="1">
      <protection hidden="1"/>
    </xf>
    <xf numFmtId="16" fontId="8" fillId="0" borderId="11" xfId="0" quotePrefix="1" applyNumberFormat="1" applyFont="1" applyBorder="1" applyAlignment="1" applyProtection="1">
      <alignment horizontal="center" vertical="center" wrapText="1"/>
      <protection locked="0"/>
    </xf>
    <xf numFmtId="167" fontId="9" fillId="0" borderId="47" xfId="2" applyNumberFormat="1" applyFont="1" applyBorder="1" applyAlignment="1" applyProtection="1">
      <alignment horizontal="center" vertical="center"/>
      <protection locked="0"/>
    </xf>
    <xf numFmtId="0" fontId="9" fillId="0" borderId="47" xfId="0" applyFont="1" applyBorder="1" applyAlignment="1" applyProtection="1">
      <alignment wrapText="1"/>
      <protection locked="0"/>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wrapText="1"/>
      <protection hidden="1"/>
    </xf>
    <xf numFmtId="44" fontId="0" fillId="0" borderId="0" xfId="0" applyNumberFormat="1" applyProtection="1">
      <protection hidden="1"/>
    </xf>
    <xf numFmtId="44" fontId="4" fillId="0" borderId="0" xfId="0" applyNumberFormat="1" applyFont="1" applyBorder="1" applyProtection="1">
      <protection hidden="1"/>
    </xf>
    <xf numFmtId="0" fontId="11" fillId="0" borderId="0" xfId="0" applyFont="1" applyBorder="1" applyProtection="1">
      <protection hidden="1"/>
    </xf>
    <xf numFmtId="0" fontId="11" fillId="0" borderId="53" xfId="42" applyFont="1" applyBorder="1" applyAlignment="1" applyProtection="1">
      <alignment horizontal="left"/>
      <protection locked="0"/>
    </xf>
    <xf numFmtId="0" fontId="11" fillId="0" borderId="54" xfId="0" applyFont="1" applyBorder="1" applyProtection="1">
      <protection locked="0"/>
    </xf>
    <xf numFmtId="44" fontId="11" fillId="0" borderId="15" xfId="8" applyFont="1" applyBorder="1" applyProtection="1">
      <protection locked="0"/>
    </xf>
    <xf numFmtId="0" fontId="11" fillId="0" borderId="16" xfId="0" applyFont="1" applyBorder="1" applyProtection="1">
      <protection locked="0"/>
    </xf>
    <xf numFmtId="0" fontId="11" fillId="0" borderId="53" xfId="0" applyFont="1" applyBorder="1" applyAlignment="1" applyProtection="1">
      <alignment horizontal="left"/>
      <protection locked="0"/>
    </xf>
    <xf numFmtId="0" fontId="11" fillId="0" borderId="53" xfId="0" quotePrefix="1" applyFont="1" applyBorder="1" applyAlignment="1" applyProtection="1">
      <alignment horizontal="left"/>
      <protection locked="0"/>
    </xf>
    <xf numFmtId="0" fontId="11" fillId="0" borderId="55" xfId="0" applyFont="1" applyBorder="1" applyAlignment="1" applyProtection="1">
      <alignment horizontal="left"/>
      <protection locked="0"/>
    </xf>
    <xf numFmtId="0" fontId="11" fillId="0" borderId="56" xfId="42" applyFont="1" applyBorder="1" applyAlignment="1" applyProtection="1">
      <alignment horizontal="left"/>
      <protection locked="0"/>
    </xf>
    <xf numFmtId="44" fontId="11" fillId="0" borderId="15" xfId="8" applyFont="1" applyBorder="1" applyAlignment="1" applyProtection="1">
      <alignment horizontal="left" indent="1"/>
      <protection locked="0"/>
    </xf>
    <xf numFmtId="0" fontId="11" fillId="0" borderId="57" xfId="0" applyFont="1" applyBorder="1" applyAlignment="1" applyProtection="1">
      <alignment horizontal="left"/>
      <protection locked="0"/>
    </xf>
    <xf numFmtId="0" fontId="11" fillId="0" borderId="58" xfId="0" applyFont="1" applyBorder="1" applyProtection="1">
      <protection locked="0"/>
    </xf>
    <xf numFmtId="44" fontId="11" fillId="0" borderId="47" xfId="0" applyNumberFormat="1" applyFont="1" applyBorder="1" applyAlignment="1" applyProtection="1">
      <alignment horizontal="right"/>
      <protection locked="0"/>
    </xf>
    <xf numFmtId="44" fontId="11" fillId="0" borderId="50" xfId="0" applyNumberFormat="1" applyFont="1" applyBorder="1" applyAlignment="1" applyProtection="1">
      <alignment horizontal="right"/>
      <protection locked="0"/>
    </xf>
    <xf numFmtId="0" fontId="11" fillId="0" borderId="0" xfId="0" applyFont="1" applyAlignment="1" applyProtection="1">
      <protection hidden="1"/>
    </xf>
    <xf numFmtId="0" fontId="11" fillId="0" borderId="51" xfId="0" applyFont="1" applyBorder="1" applyProtection="1">
      <protection locked="0"/>
    </xf>
    <xf numFmtId="0" fontId="3" fillId="0" borderId="52" xfId="0" applyFont="1" applyBorder="1" applyProtection="1">
      <protection locked="0"/>
    </xf>
    <xf numFmtId="0" fontId="11" fillId="0" borderId="52" xfId="0" applyFont="1" applyBorder="1" applyProtection="1">
      <protection locked="0"/>
    </xf>
    <xf numFmtId="0" fontId="11" fillId="0" borderId="49"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48" xfId="0" applyFont="1" applyBorder="1" applyAlignment="1" applyProtection="1">
      <alignment vertical="center" wrapText="1"/>
      <protection locked="0"/>
    </xf>
    <xf numFmtId="0" fontId="3" fillId="0" borderId="59" xfId="0" applyFont="1" applyBorder="1" applyAlignment="1" applyProtection="1">
      <alignment vertical="center"/>
      <protection locked="0"/>
    </xf>
    <xf numFmtId="0" fontId="3" fillId="0" borderId="59" xfId="0" applyFont="1" applyBorder="1" applyAlignment="1" applyProtection="1">
      <alignment vertical="center" wrapText="1"/>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14" fontId="3" fillId="0" borderId="36" xfId="0" applyNumberFormat="1"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0" borderId="65" xfId="0" applyFont="1" applyBorder="1" applyAlignment="1" applyProtection="1">
      <alignment horizontal="left" vertical="center"/>
      <protection locked="0"/>
    </xf>
    <xf numFmtId="0" fontId="3" fillId="4" borderId="7" xfId="0" applyFont="1" applyFill="1" applyBorder="1" applyAlignment="1" applyProtection="1">
      <protection locked="0"/>
    </xf>
    <xf numFmtId="0" fontId="3" fillId="4" borderId="66" xfId="0" applyFont="1" applyFill="1" applyBorder="1" applyAlignment="1" applyProtection="1">
      <protection locked="0"/>
    </xf>
    <xf numFmtId="0" fontId="3" fillId="5" borderId="66"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4" borderId="47"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66" xfId="0" applyFont="1" applyBorder="1" applyAlignment="1" applyProtection="1">
      <protection locked="0"/>
    </xf>
    <xf numFmtId="44" fontId="11" fillId="0" borderId="47" xfId="8" applyFont="1" applyBorder="1" applyAlignment="1" applyProtection="1">
      <alignment horizontal="right"/>
      <protection locked="0"/>
    </xf>
    <xf numFmtId="0" fontId="3" fillId="4" borderId="9" xfId="0" applyFont="1" applyFill="1" applyBorder="1" applyAlignment="1" applyProtection="1">
      <protection locked="0"/>
    </xf>
    <xf numFmtId="0" fontId="3" fillId="4" borderId="5" xfId="0" applyFont="1" applyFill="1" applyBorder="1" applyAlignment="1" applyProtection="1">
      <protection locked="0"/>
    </xf>
    <xf numFmtId="0" fontId="11" fillId="4" borderId="67" xfId="0" applyFont="1" applyFill="1" applyBorder="1" applyAlignment="1" applyProtection="1">
      <alignment horizontal="center"/>
      <protection locked="0"/>
    </xf>
    <xf numFmtId="0" fontId="11" fillId="0" borderId="61"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8" xfId="0" applyFont="1" applyFill="1" applyBorder="1" applyAlignment="1" applyProtection="1">
      <protection locked="0"/>
    </xf>
    <xf numFmtId="44" fontId="11" fillId="0" borderId="36" xfId="8" applyFont="1" applyBorder="1" applyAlignment="1" applyProtection="1">
      <alignment horizontal="right" indent="1"/>
      <protection locked="0"/>
    </xf>
    <xf numFmtId="0" fontId="3" fillId="0" borderId="62" xfId="0" applyFont="1" applyBorder="1" applyAlignment="1" applyProtection="1">
      <protection locked="0"/>
    </xf>
    <xf numFmtId="0" fontId="3" fillId="0" borderId="69" xfId="0" applyFont="1" applyBorder="1" applyAlignment="1" applyProtection="1">
      <protection locked="0"/>
    </xf>
    <xf numFmtId="0" fontId="11" fillId="0" borderId="70" xfId="0" applyFont="1" applyFill="1" applyBorder="1" applyAlignment="1" applyProtection="1">
      <protection locked="0"/>
    </xf>
    <xf numFmtId="0" fontId="11" fillId="0" borderId="64" xfId="0" applyFont="1" applyFill="1" applyBorder="1" applyAlignment="1" applyProtection="1">
      <protection locked="0"/>
    </xf>
    <xf numFmtId="44" fontId="11" fillId="0" borderId="67" xfId="0" applyNumberFormat="1" applyFont="1" applyBorder="1" applyAlignment="1" applyProtection="1">
      <alignment horizontal="right"/>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11" fillId="0" borderId="2" xfId="0" applyFont="1" applyFill="1" applyBorder="1" applyAlignment="1" applyProtection="1">
      <protection locked="0"/>
    </xf>
    <xf numFmtId="0" fontId="11" fillId="0" borderId="66" xfId="0" applyFont="1" applyFill="1" applyBorder="1" applyAlignment="1" applyProtection="1">
      <protection locked="0"/>
    </xf>
    <xf numFmtId="0" fontId="3" fillId="0" borderId="73" xfId="0" applyFont="1" applyBorder="1" applyAlignment="1" applyProtection="1">
      <protection locked="0"/>
    </xf>
    <xf numFmtId="0" fontId="3" fillId="0" borderId="74" xfId="0" applyFont="1" applyBorder="1" applyAlignment="1" applyProtection="1">
      <protection locked="0"/>
    </xf>
    <xf numFmtId="0" fontId="11" fillId="0" borderId="75" xfId="0" applyFont="1" applyFill="1" applyBorder="1" applyAlignment="1" applyProtection="1">
      <protection locked="0"/>
    </xf>
    <xf numFmtId="0" fontId="11" fillId="0" borderId="76"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68" xfId="0" applyFont="1" applyFill="1" applyBorder="1" applyAlignment="1" applyProtection="1">
      <alignment vertical="center"/>
      <protection locked="0"/>
    </xf>
    <xf numFmtId="44" fontId="11" fillId="0" borderId="36" xfId="0" applyNumberFormat="1" applyFont="1" applyBorder="1" applyAlignment="1" applyProtection="1">
      <alignment horizontal="center" vertical="center"/>
      <protection locked="0"/>
    </xf>
    <xf numFmtId="0" fontId="11" fillId="0" borderId="0" xfId="0" applyFont="1" applyProtection="1">
      <protection locked="0"/>
    </xf>
    <xf numFmtId="0" fontId="3" fillId="0" borderId="0" xfId="0" applyFont="1" applyAlignment="1" applyProtection="1">
      <protection locked="0"/>
    </xf>
    <xf numFmtId="168" fontId="3" fillId="0" borderId="0" xfId="2" applyNumberFormat="1" applyFont="1" applyAlignment="1" applyProtection="1">
      <protection locked="0"/>
    </xf>
    <xf numFmtId="0" fontId="0" fillId="0" borderId="0" xfId="0" applyProtection="1">
      <protection locked="0"/>
    </xf>
    <xf numFmtId="0" fontId="3" fillId="0" borderId="77" xfId="0" applyFont="1" applyBorder="1" applyAlignment="1" applyProtection="1">
      <alignment vertical="center"/>
      <protection hidden="1"/>
    </xf>
    <xf numFmtId="0" fontId="3" fillId="3" borderId="7" xfId="0" applyFont="1" applyFill="1" applyBorder="1" applyAlignment="1" applyProtection="1">
      <protection hidden="1"/>
    </xf>
    <xf numFmtId="44" fontId="11" fillId="0" borderId="53" xfId="8" applyFont="1" applyBorder="1" applyAlignment="1" applyProtection="1">
      <protection locked="0"/>
    </xf>
    <xf numFmtId="9" fontId="11" fillId="0" borderId="31" xfId="62" applyFont="1" applyBorder="1" applyAlignment="1" applyProtection="1">
      <alignment horizontal="left"/>
      <protection locked="0"/>
    </xf>
    <xf numFmtId="9" fontId="11" fillId="0" borderId="15" xfId="62" applyFont="1" applyBorder="1" applyAlignment="1" applyProtection="1">
      <alignment horizontal="left"/>
      <protection locked="0"/>
    </xf>
    <xf numFmtId="0" fontId="11" fillId="0" borderId="5" xfId="0" applyFont="1" applyBorder="1" applyProtection="1">
      <protection locked="0"/>
    </xf>
    <xf numFmtId="9" fontId="11" fillId="0" borderId="65" xfId="62" applyFont="1" applyBorder="1" applyAlignment="1" applyProtection="1">
      <alignment horizontal="left"/>
      <protection locked="0"/>
    </xf>
    <xf numFmtId="0" fontId="3" fillId="3" borderId="2" xfId="0" applyFont="1" applyFill="1" applyBorder="1" applyAlignment="1" applyProtection="1">
      <protection hidden="1"/>
    </xf>
    <xf numFmtId="164" fontId="11" fillId="0" borderId="53" xfId="9" applyNumberFormat="1" applyFont="1" applyBorder="1" applyAlignment="1" applyProtection="1">
      <protection locked="0"/>
    </xf>
    <xf numFmtId="9" fontId="11" fillId="0" borderId="15" xfId="62" applyFont="1" applyBorder="1" applyProtection="1">
      <protection locked="0"/>
    </xf>
    <xf numFmtId="0" fontId="11" fillId="0" borderId="0" xfId="0" applyFont="1" applyBorder="1" applyAlignment="1" applyProtection="1">
      <alignment horizontal="left"/>
      <protection locked="0"/>
    </xf>
    <xf numFmtId="164" fontId="11" fillId="0" borderId="55" xfId="9" applyNumberFormat="1" applyFont="1" applyBorder="1" applyAlignment="1" applyProtection="1">
      <protection locked="0"/>
    </xf>
    <xf numFmtId="164" fontId="11" fillId="0" borderId="66" xfId="9" applyNumberFormat="1" applyFont="1" applyBorder="1" applyAlignment="1" applyProtection="1">
      <protection locked="0"/>
    </xf>
    <xf numFmtId="9" fontId="11" fillId="0" borderId="50" xfId="62" applyFont="1" applyBorder="1" applyProtection="1">
      <protection locked="0"/>
    </xf>
    <xf numFmtId="9" fontId="11" fillId="0" borderId="33" xfId="62" applyFont="1" applyBorder="1" applyProtection="1">
      <protection locked="0"/>
    </xf>
    <xf numFmtId="9" fontId="11" fillId="0" borderId="0" xfId="62" applyFont="1" applyProtection="1">
      <protection hidden="1"/>
    </xf>
    <xf numFmtId="9" fontId="3" fillId="0" borderId="0" xfId="62" applyFont="1" applyAlignment="1" applyProtection="1">
      <protection hidden="1"/>
    </xf>
    <xf numFmtId="0" fontId="3" fillId="0" borderId="0" xfId="0" applyFont="1" applyProtection="1">
      <protection hidden="1"/>
    </xf>
    <xf numFmtId="0" fontId="3" fillId="0" borderId="52" xfId="0" applyFont="1" applyBorder="1" applyAlignment="1" applyProtection="1">
      <alignment vertical="center"/>
      <protection locked="0"/>
    </xf>
    <xf numFmtId="9" fontId="11" fillId="0" borderId="49" xfId="62" applyFont="1" applyBorder="1" applyAlignment="1" applyProtection="1">
      <alignment wrapText="1"/>
      <protection locked="0"/>
    </xf>
    <xf numFmtId="0" fontId="3" fillId="0" borderId="0" xfId="0" applyFont="1" applyBorder="1" applyAlignment="1" applyProtection="1">
      <alignment vertical="center"/>
      <protection locked="0"/>
    </xf>
    <xf numFmtId="9" fontId="11" fillId="0" borderId="15" xfId="62" applyFont="1" applyBorder="1" applyAlignment="1" applyProtection="1">
      <alignment wrapText="1"/>
      <protection locked="0"/>
    </xf>
    <xf numFmtId="0" fontId="11" fillId="0" borderId="1" xfId="0" quotePrefix="1" applyFont="1" applyBorder="1" applyAlignment="1" applyProtection="1">
      <alignment horizontal="left"/>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left"/>
      <protection locked="0"/>
    </xf>
    <xf numFmtId="9" fontId="11" fillId="0" borderId="36" xfId="62" applyFont="1" applyBorder="1" applyProtection="1">
      <protection locked="0"/>
    </xf>
    <xf numFmtId="0" fontId="3" fillId="0" borderId="77" xfId="0" applyFont="1" applyBorder="1" applyAlignment="1" applyProtection="1">
      <alignment vertical="center"/>
      <protection locked="0"/>
    </xf>
    <xf numFmtId="0" fontId="3" fillId="2" borderId="78" xfId="0" applyFont="1" applyFill="1" applyBorder="1" applyAlignment="1" applyProtection="1">
      <alignment horizontal="left" vertical="center"/>
      <protection locked="0"/>
    </xf>
    <xf numFmtId="0" fontId="3" fillId="2" borderId="52" xfId="0" applyFont="1" applyFill="1" applyBorder="1" applyAlignment="1" applyProtection="1">
      <alignment horizontal="left"/>
      <protection locked="0"/>
    </xf>
    <xf numFmtId="0" fontId="3" fillId="2" borderId="77" xfId="0" applyFont="1" applyFill="1" applyBorder="1" applyAlignment="1" applyProtection="1">
      <alignment horizontal="left"/>
      <protection locked="0"/>
    </xf>
    <xf numFmtId="0" fontId="3" fillId="0" borderId="77" xfId="0" applyFont="1" applyBorder="1" applyAlignment="1" applyProtection="1">
      <alignment vertical="center" wrapText="1"/>
      <protection locked="0"/>
    </xf>
    <xf numFmtId="9" fontId="3" fillId="0" borderId="49" xfId="62" applyFont="1" applyBorder="1" applyAlignment="1" applyProtection="1">
      <alignment vertical="center"/>
      <protection locked="0"/>
    </xf>
    <xf numFmtId="0" fontId="3" fillId="3" borderId="66" xfId="0" applyFont="1" applyFill="1" applyBorder="1" applyAlignment="1" applyProtection="1">
      <protection locked="0"/>
    </xf>
    <xf numFmtId="0" fontId="3" fillId="3" borderId="16" xfId="0" applyFont="1" applyFill="1" applyBorder="1" applyAlignment="1" applyProtection="1">
      <alignment horizontal="center" vertical="center"/>
      <protection locked="0"/>
    </xf>
    <xf numFmtId="9" fontId="11" fillId="3" borderId="47" xfId="62" applyFont="1" applyFill="1" applyBorder="1" applyProtection="1">
      <protection locked="0"/>
    </xf>
    <xf numFmtId="0" fontId="11" fillId="0" borderId="18" xfId="0" applyFont="1" applyBorder="1" applyProtection="1">
      <protection locked="0"/>
    </xf>
    <xf numFmtId="0" fontId="11" fillId="0" borderId="2" xfId="0" applyFont="1" applyBorder="1" applyAlignment="1" applyProtection="1">
      <alignment horizontal="left"/>
      <protection locked="0"/>
    </xf>
    <xf numFmtId="9" fontId="11" fillId="0" borderId="47" xfId="62" applyFont="1" applyBorder="1" applyProtection="1">
      <protection locked="0"/>
    </xf>
    <xf numFmtId="0" fontId="3" fillId="3" borderId="2" xfId="0" applyFont="1" applyFill="1" applyBorder="1" applyAlignment="1" applyProtection="1">
      <protection locked="0"/>
    </xf>
    <xf numFmtId="164" fontId="11" fillId="3" borderId="66" xfId="9" applyNumberFormat="1" applyFont="1" applyFill="1" applyBorder="1" applyAlignment="1" applyProtection="1">
      <protection locked="0"/>
    </xf>
    <xf numFmtId="0" fontId="11" fillId="3" borderId="72" xfId="0" applyFont="1" applyFill="1" applyBorder="1" applyAlignment="1" applyProtection="1">
      <protection locked="0"/>
    </xf>
    <xf numFmtId="0" fontId="11" fillId="3" borderId="2" xfId="0" applyFont="1" applyFill="1" applyBorder="1" applyAlignment="1" applyProtection="1">
      <protection locked="0"/>
    </xf>
    <xf numFmtId="0" fontId="11" fillId="3" borderId="66" xfId="0" applyFont="1" applyFill="1" applyBorder="1" applyAlignment="1" applyProtection="1">
      <protection locked="0"/>
    </xf>
    <xf numFmtId="164" fontId="11" fillId="0" borderId="66" xfId="8" applyNumberFormat="1" applyFont="1" applyBorder="1" applyAlignment="1" applyProtection="1">
      <protection locked="0"/>
    </xf>
    <xf numFmtId="9" fontId="11" fillId="0" borderId="67" xfId="62" applyFont="1" applyBorder="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66" xfId="0" applyFont="1" applyFill="1" applyBorder="1" applyAlignment="1" applyProtection="1">
      <protection locked="0"/>
    </xf>
    <xf numFmtId="0" fontId="3" fillId="2" borderId="59" xfId="0" applyFont="1" applyFill="1" applyBorder="1" applyAlignment="1" applyProtection="1">
      <protection locked="0"/>
    </xf>
    <xf numFmtId="0" fontId="3" fillId="0" borderId="75" xfId="0" applyFont="1" applyFill="1" applyBorder="1" applyAlignment="1" applyProtection="1">
      <protection locked="0"/>
    </xf>
    <xf numFmtId="0" fontId="3" fillId="0" borderId="76" xfId="0" applyFont="1" applyFill="1" applyBorder="1" applyAlignment="1" applyProtection="1">
      <protection locked="0"/>
    </xf>
    <xf numFmtId="0" fontId="3" fillId="0" borderId="1" xfId="0" applyFont="1" applyBorder="1" applyAlignment="1" applyProtection="1">
      <protection locked="0"/>
    </xf>
    <xf numFmtId="0" fontId="3" fillId="0" borderId="59" xfId="0" applyFont="1" applyFill="1" applyBorder="1" applyAlignment="1" applyProtection="1">
      <protection locked="0"/>
    </xf>
    <xf numFmtId="0" fontId="3" fillId="0" borderId="57" xfId="0" applyFont="1" applyFill="1" applyBorder="1" applyAlignment="1" applyProtection="1">
      <protection locked="0"/>
    </xf>
    <xf numFmtId="164" fontId="11" fillId="0" borderId="68" xfId="8" applyNumberFormat="1" applyFont="1" applyBorder="1" applyAlignment="1" applyProtection="1">
      <protection locked="0"/>
    </xf>
    <xf numFmtId="0" fontId="3" fillId="0" borderId="51"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61" xfId="0" applyFont="1" applyBorder="1" applyAlignment="1" applyProtection="1">
      <alignment horizontal="left"/>
      <protection locked="0"/>
    </xf>
    <xf numFmtId="0" fontId="3" fillId="3" borderId="7" xfId="0" applyFont="1" applyFill="1" applyBorder="1" applyAlignment="1" applyProtection="1">
      <protection locked="0"/>
    </xf>
    <xf numFmtId="0" fontId="11" fillId="0" borderId="7" xfId="0" applyFont="1" applyBorder="1" applyAlignment="1" applyProtection="1">
      <alignment horizontal="right"/>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2" borderId="48" xfId="0" applyFont="1" applyFill="1" applyBorder="1" applyAlignment="1" applyProtection="1">
      <protection locked="0"/>
    </xf>
    <xf numFmtId="0" fontId="3" fillId="0" borderId="61" xfId="0" applyFont="1" applyBorder="1" applyAlignment="1" applyProtection="1">
      <protection locked="0"/>
    </xf>
    <xf numFmtId="164" fontId="11" fillId="4" borderId="67" xfId="0" applyNumberFormat="1" applyFont="1" applyFill="1" applyBorder="1" applyAlignment="1" applyProtection="1">
      <protection hidden="1"/>
    </xf>
    <xf numFmtId="0" fontId="11" fillId="0" borderId="79" xfId="0" applyFont="1" applyBorder="1" applyProtection="1">
      <protection locked="0"/>
    </xf>
    <xf numFmtId="164" fontId="11" fillId="0" borderId="15" xfId="0" applyNumberFormat="1" applyFont="1" applyBorder="1" applyAlignment="1" applyProtection="1">
      <protection locked="0"/>
    </xf>
    <xf numFmtId="0" fontId="3" fillId="0" borderId="80" xfId="0" applyFont="1" applyBorder="1" applyAlignment="1" applyProtection="1">
      <protection locked="0"/>
    </xf>
    <xf numFmtId="0" fontId="3" fillId="0" borderId="8"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left"/>
      <protection locked="0"/>
    </xf>
    <xf numFmtId="0" fontId="3" fillId="0" borderId="61" xfId="0" applyFont="1" applyBorder="1" applyAlignment="1" applyProtection="1">
      <alignment horizontal="left" vertical="center"/>
      <protection locked="0"/>
    </xf>
    <xf numFmtId="0" fontId="3" fillId="0" borderId="68" xfId="0" applyFont="1" applyBorder="1" applyAlignment="1" applyProtection="1">
      <alignment vertical="center"/>
      <protection locked="0"/>
    </xf>
    <xf numFmtId="0" fontId="3" fillId="2" borderId="81" xfId="0" applyFont="1" applyFill="1" applyBorder="1" applyAlignment="1" applyProtection="1">
      <alignment horizontal="left" vertical="center"/>
      <protection locked="0"/>
    </xf>
    <xf numFmtId="0" fontId="3" fillId="2" borderId="68"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5" borderId="82" xfId="0" applyFont="1" applyFill="1" applyBorder="1" applyAlignment="1" applyProtection="1">
      <alignment horizontal="center" vertical="center"/>
      <protection locked="0"/>
    </xf>
    <xf numFmtId="0" fontId="3" fillId="0" borderId="2" xfId="0" applyFont="1" applyFill="1" applyBorder="1" applyProtection="1">
      <protection locked="0"/>
    </xf>
    <xf numFmtId="0" fontId="3" fillId="0" borderId="66" xfId="0" applyFont="1" applyFill="1" applyBorder="1" applyProtection="1">
      <protection locked="0"/>
    </xf>
    <xf numFmtId="164" fontId="11" fillId="0" borderId="47" xfId="0" applyNumberFormat="1" applyFont="1" applyBorder="1" applyAlignment="1" applyProtection="1">
      <protection locked="0"/>
    </xf>
    <xf numFmtId="0" fontId="3" fillId="0" borderId="83" xfId="0" applyFont="1" applyBorder="1" applyAlignment="1" applyProtection="1">
      <protection locked="0"/>
    </xf>
    <xf numFmtId="0" fontId="3" fillId="0" borderId="75" xfId="0" applyFont="1" applyBorder="1" applyAlignment="1" applyProtection="1">
      <protection locked="0"/>
    </xf>
    <xf numFmtId="0" fontId="3" fillId="0" borderId="0" xfId="0" applyFont="1" applyFill="1" applyBorder="1" applyProtection="1">
      <protection locked="0"/>
    </xf>
    <xf numFmtId="0" fontId="3" fillId="0" borderId="53" xfId="0" applyFont="1" applyFill="1" applyBorder="1" applyProtection="1">
      <protection locked="0"/>
    </xf>
    <xf numFmtId="0" fontId="3" fillId="0" borderId="1" xfId="0" applyFont="1" applyFill="1" applyBorder="1" applyProtection="1">
      <protection locked="0"/>
    </xf>
    <xf numFmtId="0" fontId="3" fillId="0" borderId="68" xfId="0" applyFont="1" applyFill="1" applyBorder="1" applyProtection="1">
      <protection locked="0"/>
    </xf>
    <xf numFmtId="164" fontId="11" fillId="0" borderId="36" xfId="0" applyNumberFormat="1" applyFont="1" applyBorder="1" applyAlignment="1" applyProtection="1">
      <protection locked="0"/>
    </xf>
    <xf numFmtId="0" fontId="1" fillId="0" borderId="0" xfId="0" applyFont="1" applyAlignment="1" applyProtection="1">
      <protection locked="0"/>
    </xf>
    <xf numFmtId="0" fontId="11" fillId="0" borderId="0" xfId="0" applyFont="1" applyBorder="1" applyAlignment="1" applyProtection="1">
      <protection hidden="1"/>
    </xf>
    <xf numFmtId="164" fontId="11" fillId="0" borderId="50" xfId="0" applyNumberFormat="1" applyFont="1" applyBorder="1" applyAlignment="1" applyProtection="1">
      <protection locked="0"/>
    </xf>
    <xf numFmtId="164" fontId="11" fillId="0" borderId="60" xfId="0" applyNumberFormat="1" applyFont="1" applyBorder="1" applyAlignment="1" applyProtection="1">
      <protection locked="0"/>
    </xf>
    <xf numFmtId="0" fontId="3" fillId="0" borderId="51" xfId="0" applyFont="1" applyBorder="1" applyAlignment="1" applyProtection="1">
      <protection locked="0"/>
    </xf>
    <xf numFmtId="0" fontId="3" fillId="0" borderId="52" xfId="0" applyFont="1" applyBorder="1" applyAlignment="1" applyProtection="1">
      <protection locked="0"/>
    </xf>
    <xf numFmtId="0" fontId="3" fillId="0" borderId="49" xfId="0" applyFont="1" applyBorder="1" applyAlignment="1" applyProtection="1">
      <protection locked="0"/>
    </xf>
    <xf numFmtId="0" fontId="3" fillId="0" borderId="49" xfId="0" applyFont="1" applyBorder="1" applyAlignment="1" applyProtection="1">
      <alignment vertical="center"/>
      <protection locked="0"/>
    </xf>
    <xf numFmtId="0" fontId="3" fillId="0" borderId="84" xfId="0" applyFont="1" applyBorder="1" applyAlignment="1" applyProtection="1">
      <protection locked="0"/>
    </xf>
    <xf numFmtId="0" fontId="11" fillId="0" borderId="70" xfId="0" applyFont="1" applyBorder="1" applyAlignment="1" applyProtection="1">
      <protection locked="0"/>
    </xf>
    <xf numFmtId="0" fontId="11" fillId="0" borderId="64" xfId="0" applyFont="1" applyBorder="1" applyAlignment="1" applyProtection="1">
      <protection locked="0"/>
    </xf>
    <xf numFmtId="164" fontId="11" fillId="0" borderId="85" xfId="0" applyNumberFormat="1" applyFont="1" applyBorder="1" applyAlignment="1" applyProtection="1">
      <protection locked="0"/>
    </xf>
    <xf numFmtId="0" fontId="11" fillId="0" borderId="0" xfId="0" applyFont="1" applyBorder="1" applyAlignment="1" applyProtection="1">
      <protection locked="0"/>
    </xf>
    <xf numFmtId="0" fontId="11" fillId="0" borderId="53" xfId="0" applyFont="1" applyBorder="1" applyAlignment="1" applyProtection="1">
      <protection locked="0"/>
    </xf>
    <xf numFmtId="0" fontId="11" fillId="0" borderId="48" xfId="0" applyFont="1" applyBorder="1" applyProtection="1">
      <protection locked="0"/>
    </xf>
    <xf numFmtId="0" fontId="11" fillId="0" borderId="59" xfId="0" applyFont="1" applyBorder="1" applyAlignment="1" applyProtection="1">
      <protection locked="0"/>
    </xf>
    <xf numFmtId="0" fontId="11" fillId="0" borderId="57"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2" borderId="83" xfId="0" applyFont="1" applyFill="1" applyBorder="1" applyAlignment="1" applyProtection="1">
      <alignment vertical="center"/>
      <protection locked="0"/>
    </xf>
    <xf numFmtId="0" fontId="3" fillId="2" borderId="75" xfId="0" applyFont="1" applyFill="1" applyBorder="1" applyAlignment="1" applyProtection="1">
      <alignment vertical="center"/>
      <protection locked="0"/>
    </xf>
    <xf numFmtId="0" fontId="3" fillId="2" borderId="76" xfId="0" applyFont="1" applyFill="1" applyBorder="1" applyAlignment="1" applyProtection="1">
      <alignment vertical="center"/>
      <protection locked="0"/>
    </xf>
    <xf numFmtId="0" fontId="11" fillId="0" borderId="0" xfId="42" applyFont="1" applyBorder="1" applyAlignment="1" applyProtection="1">
      <protection locked="0"/>
    </xf>
    <xf numFmtId="164" fontId="11" fillId="0" borderId="15" xfId="42" applyNumberFormat="1" applyFont="1" applyBorder="1" applyAlignment="1" applyProtection="1">
      <protection locked="0"/>
    </xf>
    <xf numFmtId="0" fontId="3" fillId="0" borderId="51"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1" xfId="0" applyFont="1" applyBorder="1" applyProtection="1">
      <protection locked="0"/>
    </xf>
    <xf numFmtId="0" fontId="3" fillId="0" borderId="8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50" xfId="0" applyFont="1" applyBorder="1" applyAlignment="1" applyProtection="1">
      <alignment vertical="center"/>
      <protection locked="0"/>
    </xf>
    <xf numFmtId="164" fontId="3" fillId="0" borderId="47" xfId="0" applyNumberFormat="1" applyFont="1" applyBorder="1" applyAlignment="1" applyProtection="1">
      <protection locked="0"/>
    </xf>
    <xf numFmtId="0" fontId="3" fillId="0" borderId="66" xfId="0" applyFont="1" applyBorder="1" applyAlignment="1" applyProtection="1">
      <protection locked="0"/>
    </xf>
    <xf numFmtId="0" fontId="3" fillId="2" borderId="7" xfId="0" applyFont="1" applyFill="1" applyBorder="1" applyAlignment="1" applyProtection="1">
      <protection locked="0"/>
    </xf>
    <xf numFmtId="0" fontId="3" fillId="2" borderId="2" xfId="0" applyFont="1" applyFill="1" applyBorder="1" applyAlignment="1" applyProtection="1">
      <protection locked="0"/>
    </xf>
    <xf numFmtId="0" fontId="3" fillId="2" borderId="66" xfId="0" applyFont="1" applyFill="1" applyBorder="1" applyAlignment="1" applyProtection="1">
      <protection locked="0"/>
    </xf>
    <xf numFmtId="0" fontId="3" fillId="0" borderId="9" xfId="0" applyFont="1" applyBorder="1" applyAlignment="1" applyProtection="1">
      <protection locked="0"/>
    </xf>
    <xf numFmtId="0" fontId="3" fillId="0" borderId="5" xfId="0" applyFont="1" applyBorder="1" applyAlignment="1" applyProtection="1">
      <protection locked="0"/>
    </xf>
    <xf numFmtId="164" fontId="11" fillId="0" borderId="33" xfId="0" applyNumberFormat="1" applyFont="1" applyBorder="1" applyAlignment="1" applyProtection="1">
      <protection locked="0"/>
    </xf>
    <xf numFmtId="0" fontId="3" fillId="0" borderId="7" xfId="0" applyFont="1" applyBorder="1" applyProtection="1">
      <protection locked="0"/>
    </xf>
    <xf numFmtId="0" fontId="11" fillId="0" borderId="53" xfId="42" applyFont="1" applyBorder="1" applyAlignment="1" applyProtection="1">
      <protection locked="0"/>
    </xf>
    <xf numFmtId="0" fontId="3" fillId="0" borderId="16" xfId="0" applyFont="1" applyBorder="1" applyAlignment="1" applyProtection="1">
      <protection locked="0"/>
    </xf>
    <xf numFmtId="0" fontId="3" fillId="2" borderId="71" xfId="0" applyFont="1" applyFill="1" applyBorder="1" applyAlignment="1" applyProtection="1">
      <protection locked="0"/>
    </xf>
    <xf numFmtId="0" fontId="3" fillId="2" borderId="16" xfId="0" applyFont="1" applyFill="1" applyBorder="1" applyAlignment="1" applyProtection="1">
      <protection locked="0"/>
    </xf>
    <xf numFmtId="0" fontId="3" fillId="0" borderId="48" xfId="0" applyFont="1" applyBorder="1" applyAlignment="1" applyProtection="1">
      <protection locked="0"/>
    </xf>
    <xf numFmtId="0" fontId="3" fillId="0" borderId="59" xfId="0" applyFont="1" applyBorder="1" applyAlignment="1" applyProtection="1">
      <protection locked="0"/>
    </xf>
    <xf numFmtId="0" fontId="3" fillId="0" borderId="76" xfId="0" applyFont="1" applyBorder="1" applyAlignment="1" applyProtection="1">
      <protection locked="0"/>
    </xf>
    <xf numFmtId="0" fontId="11" fillId="0" borderId="0" xfId="0" applyFont="1" applyAlignment="1" applyProtection="1">
      <alignment wrapText="1"/>
      <protection hidden="1"/>
    </xf>
    <xf numFmtId="0" fontId="3" fillId="3" borderId="47" xfId="0" applyFont="1" applyFill="1" applyBorder="1" applyAlignment="1" applyProtection="1">
      <protection hidden="1"/>
    </xf>
    <xf numFmtId="164" fontId="11" fillId="2" borderId="50" xfId="8" applyNumberFormat="1" applyFont="1" applyFill="1" applyBorder="1" applyAlignment="1" applyProtection="1">
      <protection locked="0"/>
    </xf>
    <xf numFmtId="0" fontId="11" fillId="3" borderId="7" xfId="0" applyFont="1" applyFill="1" applyBorder="1" applyAlignment="1" applyProtection="1">
      <alignment horizontal="left"/>
      <protection hidden="1"/>
    </xf>
    <xf numFmtId="0" fontId="11" fillId="3" borderId="2" xfId="0" applyFont="1" applyFill="1" applyBorder="1" applyAlignment="1" applyProtection="1">
      <alignment horizontal="left"/>
      <protection hidden="1"/>
    </xf>
    <xf numFmtId="0" fontId="11" fillId="3" borderId="47" xfId="0" applyFont="1" applyFill="1" applyBorder="1" applyAlignment="1" applyProtection="1">
      <alignment horizontal="left"/>
      <protection hidden="1"/>
    </xf>
    <xf numFmtId="164" fontId="11" fillId="0" borderId="47" xfId="9" applyNumberFormat="1" applyFont="1" applyBorder="1" applyAlignment="1" applyProtection="1">
      <protection locked="0"/>
    </xf>
    <xf numFmtId="0" fontId="11" fillId="3" borderId="9" xfId="0" applyFont="1" applyFill="1" applyBorder="1" applyAlignment="1" applyProtection="1">
      <protection hidden="1"/>
    </xf>
    <xf numFmtId="0" fontId="11" fillId="3" borderId="5" xfId="0" applyFont="1" applyFill="1" applyBorder="1" applyAlignment="1" applyProtection="1">
      <protection hidden="1"/>
    </xf>
    <xf numFmtId="0" fontId="11" fillId="3" borderId="67" xfId="0" applyFont="1" applyFill="1" applyBorder="1" applyAlignment="1" applyProtection="1">
      <protection hidden="1"/>
    </xf>
    <xf numFmtId="164" fontId="11" fillId="0" borderId="86" xfId="9" applyNumberFormat="1" applyFont="1" applyBorder="1" applyAlignment="1" applyProtection="1">
      <protection locked="0"/>
    </xf>
    <xf numFmtId="0" fontId="11" fillId="0" borderId="0" xfId="0" applyFont="1" applyFill="1" applyBorder="1" applyAlignment="1" applyProtection="1">
      <protection hidden="1"/>
    </xf>
    <xf numFmtId="0" fontId="3" fillId="0" borderId="0" xfId="0" applyFont="1" applyFill="1" applyBorder="1" applyAlignment="1" applyProtection="1">
      <alignment wrapText="1"/>
      <protection hidden="1"/>
    </xf>
    <xf numFmtId="164" fontId="11" fillId="0" borderId="0" xfId="9" applyNumberFormat="1" applyFont="1" applyFill="1" applyBorder="1" applyAlignment="1" applyProtection="1">
      <protection hidden="1"/>
    </xf>
    <xf numFmtId="0" fontId="3" fillId="0" borderId="15" xfId="0" applyFont="1" applyBorder="1" applyAlignment="1" applyProtection="1">
      <alignment horizontal="center" wrapText="1"/>
      <protection locked="0"/>
    </xf>
    <xf numFmtId="14" fontId="11" fillId="0" borderId="36" xfId="0" applyNumberFormat="1" applyFont="1" applyBorder="1" applyProtection="1">
      <protection locked="0"/>
    </xf>
    <xf numFmtId="0" fontId="3" fillId="0" borderId="0" xfId="0" applyFont="1" applyBorder="1" applyAlignment="1" applyProtection="1">
      <alignment wrapText="1"/>
      <protection locked="0"/>
    </xf>
    <xf numFmtId="0" fontId="3" fillId="0" borderId="53"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2" borderId="80"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6"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83" xfId="0" applyFont="1" applyBorder="1" applyAlignment="1" applyProtection="1">
      <alignment vertical="center"/>
      <protection locked="0"/>
    </xf>
    <xf numFmtId="0" fontId="3" fillId="0" borderId="75"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11" fillId="3" borderId="59" xfId="0" applyFont="1" applyFill="1" applyBorder="1" applyAlignment="1" applyProtection="1">
      <protection hidden="1"/>
    </xf>
    <xf numFmtId="0" fontId="11" fillId="3" borderId="60" xfId="0" applyFont="1" applyFill="1" applyBorder="1" applyAlignment="1" applyProtection="1">
      <protection hidden="1"/>
    </xf>
    <xf numFmtId="0" fontId="3" fillId="0" borderId="51" xfId="0" applyFont="1" applyBorder="1" applyAlignment="1" applyProtection="1">
      <alignment vertical="top"/>
      <protection locked="0"/>
    </xf>
    <xf numFmtId="0" fontId="3" fillId="0" borderId="52" xfId="0" applyFont="1" applyBorder="1" applyAlignment="1" applyProtection="1">
      <alignment vertical="top"/>
      <protection locked="0"/>
    </xf>
    <xf numFmtId="0" fontId="3" fillId="0" borderId="49" xfId="0" applyFont="1" applyBorder="1" applyAlignment="1" applyProtection="1">
      <alignment vertical="top"/>
      <protection locked="0"/>
    </xf>
    <xf numFmtId="0" fontId="1" fillId="0" borderId="61" xfId="0" applyFont="1" applyBorder="1" applyAlignment="1" applyProtection="1">
      <protection locked="0"/>
    </xf>
    <xf numFmtId="0" fontId="1" fillId="0" borderId="9" xfId="0" applyFont="1" applyBorder="1" applyAlignment="1" applyProtection="1">
      <alignment vertical="center"/>
      <protection locked="0"/>
    </xf>
    <xf numFmtId="0" fontId="3" fillId="0" borderId="55" xfId="0" applyFont="1" applyBorder="1" applyAlignment="1" applyProtection="1">
      <protection locked="0"/>
    </xf>
    <xf numFmtId="0" fontId="3" fillId="0" borderId="67" xfId="0" applyFont="1" applyBorder="1" applyAlignment="1" applyProtection="1">
      <alignment vertical="center"/>
      <protection locked="0"/>
    </xf>
    <xf numFmtId="0" fontId="1"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0"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59" xfId="0" applyFont="1" applyBorder="1" applyAlignment="1" applyProtection="1">
      <alignment horizontal="center" wrapText="1"/>
      <protection locked="0"/>
    </xf>
    <xf numFmtId="0" fontId="11" fillId="0" borderId="60" xfId="0" applyFont="1" applyBorder="1" applyProtection="1">
      <protection locked="0"/>
    </xf>
    <xf numFmtId="0" fontId="8" fillId="0" borderId="9"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5" xfId="0" applyFont="1" applyBorder="1" applyAlignment="1" applyProtection="1">
      <protection locked="0"/>
    </xf>
    <xf numFmtId="0" fontId="8" fillId="0" borderId="5" xfId="0" applyFont="1" applyBorder="1" applyAlignment="1" applyProtection="1">
      <alignment horizontal="right"/>
      <protection locked="0"/>
    </xf>
    <xf numFmtId="14" fontId="9" fillId="0" borderId="60" xfId="0" applyNumberFormat="1" applyFont="1" applyBorder="1" applyAlignment="1" applyProtection="1">
      <alignment horizontal="left"/>
      <protection locked="0"/>
    </xf>
    <xf numFmtId="0" fontId="8" fillId="4" borderId="61" xfId="0" applyFont="1" applyFill="1" applyBorder="1" applyAlignment="1" applyProtection="1">
      <alignment horizontal="left" vertical="center"/>
      <protection locked="0"/>
    </xf>
    <xf numFmtId="0" fontId="8" fillId="4" borderId="61" xfId="0" applyFont="1" applyFill="1" applyBorder="1" applyAlignment="1" applyProtection="1">
      <alignment horizontal="center" vertical="center"/>
      <protection locked="0"/>
    </xf>
    <xf numFmtId="0" fontId="8" fillId="4" borderId="87"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0" fontId="8" fillId="4" borderId="36" xfId="0" applyFont="1" applyFill="1" applyBorder="1" applyAlignment="1" applyProtection="1">
      <alignment horizontal="left" vertical="center"/>
      <protection locked="0"/>
    </xf>
    <xf numFmtId="0" fontId="8" fillId="2" borderId="2"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3" borderId="48" xfId="0" applyFont="1" applyFill="1" applyBorder="1" applyAlignment="1" applyProtection="1">
      <alignment vertical="center"/>
      <protection locked="0"/>
    </xf>
    <xf numFmtId="0" fontId="8" fillId="3" borderId="59" xfId="0" applyFont="1" applyFill="1" applyBorder="1" applyAlignment="1" applyProtection="1">
      <alignment vertical="center"/>
      <protection locked="0"/>
    </xf>
    <xf numFmtId="0" fontId="8" fillId="3" borderId="57" xfId="0" applyFont="1" applyFill="1" applyBorder="1" applyAlignment="1" applyProtection="1">
      <alignment vertical="center"/>
      <protection locked="0"/>
    </xf>
    <xf numFmtId="164" fontId="8" fillId="3" borderId="88" xfId="8" applyNumberFormat="1" applyFont="1" applyFill="1" applyBorder="1" applyAlignment="1" applyProtection="1">
      <alignment vertical="center"/>
      <protection locked="0"/>
    </xf>
    <xf numFmtId="164" fontId="9" fillId="3" borderId="89" xfId="0" applyNumberFormat="1" applyFont="1" applyFill="1" applyBorder="1" applyAlignment="1" applyProtection="1">
      <alignment vertical="center"/>
      <protection locked="0"/>
    </xf>
    <xf numFmtId="0" fontId="17" fillId="0" borderId="0" xfId="0" applyFont="1" applyBorder="1" applyAlignment="1" applyProtection="1">
      <alignment horizontal="left"/>
      <protection locked="0"/>
    </xf>
    <xf numFmtId="0" fontId="17" fillId="0" borderId="0" xfId="0" applyFont="1" applyAlignment="1" applyProtection="1">
      <alignment horizontal="left"/>
      <protection locked="0"/>
    </xf>
    <xf numFmtId="0" fontId="3" fillId="0" borderId="0" xfId="0" applyFont="1" applyFill="1" applyBorder="1" applyAlignment="1" applyProtection="1">
      <protection hidden="1"/>
    </xf>
    <xf numFmtId="0" fontId="11" fillId="0" borderId="0" xfId="0" applyFont="1" applyFill="1" applyProtection="1">
      <protection hidden="1"/>
    </xf>
    <xf numFmtId="165" fontId="11" fillId="0" borderId="0" xfId="0" applyNumberFormat="1" applyFont="1" applyProtection="1">
      <protection hidden="1"/>
    </xf>
    <xf numFmtId="14" fontId="3" fillId="0" borderId="5" xfId="0" applyNumberFormat="1" applyFont="1" applyBorder="1" applyAlignment="1" applyProtection="1">
      <alignment horizontal="center"/>
      <protection hidden="1"/>
    </xf>
    <xf numFmtId="14" fontId="3" fillId="0" borderId="0" xfId="0" applyNumberFormat="1" applyFont="1" applyBorder="1" applyAlignment="1" applyProtection="1">
      <alignment horizontal="center"/>
      <protection hidden="1"/>
    </xf>
    <xf numFmtId="0" fontId="3" fillId="0" borderId="90" xfId="0" applyFont="1" applyFill="1" applyBorder="1" applyAlignment="1" applyProtection="1">
      <alignment horizontal="center" vertical="center"/>
      <protection locked="0"/>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164" fontId="11" fillId="4" borderId="79" xfId="0" applyNumberFormat="1" applyFont="1" applyFill="1" applyBorder="1" applyProtection="1">
      <protection hidden="1"/>
    </xf>
    <xf numFmtId="164" fontId="11" fillId="4" borderId="93" xfId="0" applyNumberFormat="1" applyFont="1" applyFill="1" applyBorder="1" applyProtection="1">
      <protection hidden="1"/>
    </xf>
    <xf numFmtId="164" fontId="11" fillId="4" borderId="29" xfId="0" applyNumberFormat="1" applyFont="1" applyFill="1" applyBorder="1" applyProtection="1">
      <protection hidden="1"/>
    </xf>
    <xf numFmtId="164" fontId="11" fillId="0" borderId="94" xfId="0" applyNumberFormat="1" applyFont="1" applyFill="1" applyBorder="1" applyProtection="1">
      <protection locked="0"/>
    </xf>
    <xf numFmtId="164" fontId="11" fillId="4" borderId="94" xfId="0" applyNumberFormat="1" applyFont="1" applyFill="1" applyBorder="1" applyProtection="1">
      <protection hidden="1"/>
    </xf>
    <xf numFmtId="164" fontId="11" fillId="0" borderId="95" xfId="0" applyNumberFormat="1" applyFont="1" applyFill="1" applyBorder="1" applyProtection="1">
      <protection locked="0"/>
    </xf>
    <xf numFmtId="0" fontId="11" fillId="0" borderId="0" xfId="0" applyFont="1" applyFill="1" applyBorder="1" applyProtection="1">
      <protection hidden="1"/>
    </xf>
    <xf numFmtId="164" fontId="11" fillId="2" borderId="95" xfId="0" applyNumberFormat="1" applyFont="1" applyFill="1" applyBorder="1" applyProtection="1">
      <protection locked="0"/>
    </xf>
    <xf numFmtId="164" fontId="11" fillId="4" borderId="95" xfId="0" applyNumberFormat="1" applyFont="1" applyFill="1" applyBorder="1" applyProtection="1">
      <protection hidden="1"/>
    </xf>
    <xf numFmtId="164" fontId="11" fillId="4" borderId="96" xfId="0" applyNumberFormat="1" applyFont="1" applyFill="1" applyBorder="1" applyProtection="1">
      <protection hidden="1"/>
    </xf>
    <xf numFmtId="164" fontId="11" fillId="4" borderId="97" xfId="0" applyNumberFormat="1" applyFont="1" applyFill="1" applyBorder="1" applyProtection="1">
      <protection hidden="1"/>
    </xf>
    <xf numFmtId="164" fontId="11" fillId="4" borderId="3" xfId="0" applyNumberFormat="1" applyFont="1" applyFill="1" applyBorder="1" applyProtection="1">
      <protection hidden="1"/>
    </xf>
    <xf numFmtId="164" fontId="11" fillId="4" borderId="96" xfId="42" applyNumberFormat="1" applyFont="1" applyFill="1" applyBorder="1" applyProtection="1">
      <protection hidden="1"/>
    </xf>
    <xf numFmtId="164" fontId="11" fillId="4" borderId="98" xfId="0" applyNumberFormat="1" applyFont="1" applyFill="1" applyBorder="1" applyProtection="1">
      <protection hidden="1"/>
    </xf>
    <xf numFmtId="164" fontId="11" fillId="4" borderId="99" xfId="0" applyNumberFormat="1" applyFont="1" applyFill="1" applyBorder="1" applyProtection="1">
      <protection hidden="1"/>
    </xf>
    <xf numFmtId="164" fontId="11" fillId="4" borderId="100" xfId="0" applyNumberFormat="1" applyFont="1" applyFill="1" applyBorder="1" applyProtection="1">
      <protection hidden="1"/>
    </xf>
    <xf numFmtId="164" fontId="11" fillId="4" borderId="101" xfId="0" applyNumberFormat="1" applyFont="1" applyFill="1" applyBorder="1" applyProtection="1">
      <protection hidden="1"/>
    </xf>
    <xf numFmtId="164" fontId="11" fillId="2" borderId="101" xfId="0" applyNumberFormat="1" applyFont="1" applyFill="1" applyBorder="1" applyProtection="1">
      <protection locked="0"/>
    </xf>
    <xf numFmtId="164" fontId="11" fillId="0" borderId="95" xfId="42" applyNumberFormat="1" applyFont="1" applyFill="1" applyBorder="1" applyProtection="1">
      <protection locked="0"/>
    </xf>
    <xf numFmtId="164" fontId="11" fillId="2" borderId="101" xfId="42" applyNumberFormat="1" applyFont="1" applyFill="1" applyBorder="1" applyProtection="1">
      <protection locked="0"/>
    </xf>
    <xf numFmtId="164" fontId="11" fillId="2" borderId="95" xfId="42" applyNumberFormat="1" applyFont="1" applyFill="1" applyBorder="1" applyProtection="1">
      <protection locked="0"/>
    </xf>
    <xf numFmtId="164" fontId="11" fillId="0" borderId="101" xfId="0" applyNumberFormat="1" applyFont="1" applyFill="1" applyBorder="1" applyProtection="1">
      <protection locked="0"/>
    </xf>
    <xf numFmtId="164" fontId="11" fillId="0" borderId="102" xfId="0" applyNumberFormat="1" applyFont="1" applyFill="1" applyBorder="1" applyProtection="1">
      <protection locked="0"/>
    </xf>
    <xf numFmtId="164" fontId="11" fillId="2" borderId="96" xfId="0" applyNumberFormat="1" applyFont="1" applyFill="1" applyBorder="1" applyProtection="1">
      <protection locked="0"/>
    </xf>
    <xf numFmtId="164" fontId="11" fillId="2" borderId="102" xfId="0" applyNumberFormat="1" applyFont="1" applyFill="1" applyBorder="1" applyProtection="1">
      <protection locked="0"/>
    </xf>
    <xf numFmtId="164" fontId="11" fillId="0" borderId="96" xfId="0" applyNumberFormat="1" applyFont="1" applyFill="1" applyBorder="1" applyProtection="1">
      <protection locked="0"/>
    </xf>
    <xf numFmtId="164" fontId="11" fillId="4" borderId="72" xfId="0" applyNumberFormat="1" applyFont="1" applyFill="1" applyBorder="1" applyProtection="1">
      <protection hidden="1"/>
    </xf>
    <xf numFmtId="164" fontId="11" fillId="0" borderId="3" xfId="0" applyNumberFormat="1" applyFont="1" applyBorder="1" applyProtection="1">
      <protection hidden="1"/>
    </xf>
    <xf numFmtId="164" fontId="11" fillId="4" borderId="102" xfId="0" applyNumberFormat="1" applyFont="1" applyFill="1" applyBorder="1" applyAlignment="1" applyProtection="1">
      <alignment horizontal="center" vertical="center"/>
      <protection hidden="1"/>
    </xf>
    <xf numFmtId="164" fontId="11" fillId="4" borderId="53" xfId="0" applyNumberFormat="1" applyFont="1" applyFill="1" applyBorder="1" applyProtection="1">
      <protection hidden="1"/>
    </xf>
    <xf numFmtId="164" fontId="11" fillId="4" borderId="31" xfId="0" applyNumberFormat="1" applyFont="1" applyFill="1" applyBorder="1" applyProtection="1">
      <protection hidden="1"/>
    </xf>
    <xf numFmtId="164" fontId="11" fillId="0" borderId="95" xfId="0" applyNumberFormat="1" applyFont="1" applyFill="1" applyBorder="1" applyAlignment="1" applyProtection="1">
      <alignment horizontal="right" vertical="center"/>
      <protection locked="0"/>
    </xf>
    <xf numFmtId="164" fontId="11" fillId="0" borderId="79" xfId="0" applyNumberFormat="1" applyFont="1" applyFill="1" applyBorder="1" applyProtection="1">
      <protection locked="0"/>
    </xf>
    <xf numFmtId="164" fontId="11" fillId="4" borderId="16" xfId="0" applyNumberFormat="1" applyFont="1" applyFill="1" applyBorder="1" applyProtection="1">
      <protection hidden="1"/>
    </xf>
    <xf numFmtId="164" fontId="11" fillId="4" borderId="2" xfId="0" applyNumberFormat="1" applyFont="1" applyFill="1" applyBorder="1" applyProtection="1">
      <protection hidden="1"/>
    </xf>
    <xf numFmtId="164" fontId="11" fillId="4" borderId="33" xfId="0" applyNumberFormat="1" applyFont="1" applyFill="1" applyBorder="1" applyProtection="1">
      <protection hidden="1"/>
    </xf>
    <xf numFmtId="164" fontId="11" fillId="2" borderId="79" xfId="0" applyNumberFormat="1" applyFont="1" applyFill="1" applyBorder="1" applyProtection="1">
      <protection locked="0"/>
    </xf>
    <xf numFmtId="164" fontId="11" fillId="0" borderId="93" xfId="0" applyNumberFormat="1" applyFont="1" applyFill="1" applyBorder="1" applyProtection="1">
      <protection locked="0"/>
    </xf>
    <xf numFmtId="164" fontId="11" fillId="0" borderId="0" xfId="0" applyNumberFormat="1" applyFont="1" applyProtection="1">
      <protection hidden="1"/>
    </xf>
    <xf numFmtId="164" fontId="11" fillId="4" borderId="103" xfId="0" applyNumberFormat="1" applyFont="1" applyFill="1" applyBorder="1" applyProtection="1">
      <protection hidden="1"/>
    </xf>
    <xf numFmtId="164" fontId="11" fillId="4" borderId="104" xfId="0" applyNumberFormat="1" applyFont="1" applyFill="1" applyBorder="1" applyProtection="1">
      <protection hidden="1"/>
    </xf>
    <xf numFmtId="164" fontId="11" fillId="4" borderId="105" xfId="0" applyNumberFormat="1" applyFont="1" applyFill="1" applyBorder="1" applyProtection="1">
      <protection hidden="1"/>
    </xf>
    <xf numFmtId="164" fontId="11" fillId="4" borderId="20" xfId="0" applyNumberFormat="1" applyFont="1" applyFill="1" applyBorder="1" applyProtection="1">
      <protection hidden="1"/>
    </xf>
    <xf numFmtId="164" fontId="18" fillId="2" borderId="101" xfId="0" applyNumberFormat="1" applyFont="1" applyFill="1" applyBorder="1" applyProtection="1">
      <protection locked="0"/>
    </xf>
    <xf numFmtId="164" fontId="11" fillId="2" borderId="106" xfId="0" applyNumberFormat="1" applyFont="1" applyFill="1" applyBorder="1" applyProtection="1">
      <protection locked="0"/>
    </xf>
    <xf numFmtId="164" fontId="11" fillId="4" borderId="102" xfId="0" applyNumberFormat="1" applyFont="1" applyFill="1" applyBorder="1" applyProtection="1">
      <protection hidden="1"/>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2"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2" xfId="0" applyFont="1" applyFill="1" applyBorder="1" applyAlignment="1" applyProtection="1">
      <alignment vertical="center"/>
      <protection locked="0"/>
    </xf>
    <xf numFmtId="164" fontId="19"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20" fillId="0" borderId="74" xfId="35" applyFont="1" applyFill="1" applyBorder="1" applyAlignment="1" applyProtection="1">
      <alignment vertical="center"/>
      <protection locked="0"/>
    </xf>
    <xf numFmtId="0" fontId="3" fillId="0" borderId="82"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7"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08" xfId="0" applyFont="1" applyBorder="1" applyProtection="1">
      <protection locked="0"/>
    </xf>
    <xf numFmtId="0" fontId="3" fillId="0" borderId="3" xfId="0" applyFont="1" applyBorder="1" applyAlignment="1" applyProtection="1">
      <protection locked="0"/>
    </xf>
    <xf numFmtId="0" fontId="3" fillId="0" borderId="53" xfId="0" applyFont="1" applyBorder="1" applyAlignment="1" applyProtection="1">
      <protection locked="0"/>
    </xf>
    <xf numFmtId="0" fontId="11" fillId="0" borderId="108" xfId="0" applyFont="1" applyBorder="1" applyProtection="1">
      <protection locked="0"/>
    </xf>
    <xf numFmtId="0" fontId="3" fillId="0" borderId="3" xfId="0" applyFont="1" applyBorder="1" applyProtection="1">
      <protection locked="0"/>
    </xf>
    <xf numFmtId="164" fontId="11" fillId="4" borderId="94" xfId="0" applyNumberFormat="1" applyFont="1" applyFill="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08"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3" xfId="0" applyFont="1" applyFill="1" applyBorder="1" applyAlignment="1" applyProtection="1">
      <protection locked="0"/>
    </xf>
    <xf numFmtId="0" fontId="11" fillId="0" borderId="63" xfId="0" applyFont="1" applyFill="1" applyBorder="1" applyProtection="1">
      <protection locked="0"/>
    </xf>
    <xf numFmtId="0" fontId="11" fillId="0" borderId="5" xfId="0" applyFont="1" applyFill="1" applyBorder="1" applyAlignment="1" applyProtection="1">
      <protection locked="0"/>
    </xf>
    <xf numFmtId="0" fontId="11" fillId="0" borderId="55" xfId="0" applyFont="1" applyFill="1" applyBorder="1" applyAlignment="1" applyProtection="1">
      <protection locked="0"/>
    </xf>
    <xf numFmtId="164" fontId="11" fillId="2" borderId="3" xfId="0" applyNumberFormat="1" applyFont="1" applyFill="1" applyBorder="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55" xfId="0" applyFont="1" applyBorder="1" applyAlignment="1" applyProtection="1">
      <protection locked="0"/>
    </xf>
    <xf numFmtId="0" fontId="11" fillId="0" borderId="54"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73" xfId="0" applyFont="1" applyBorder="1" applyProtection="1">
      <protection locked="0"/>
    </xf>
    <xf numFmtId="0" fontId="3" fillId="0" borderId="4" xfId="0" applyFont="1" applyBorder="1" applyAlignment="1" applyProtection="1">
      <protection locked="0"/>
    </xf>
    <xf numFmtId="0" fontId="11" fillId="0" borderId="63" xfId="0" applyFont="1" applyBorder="1" applyProtection="1">
      <protection locked="0"/>
    </xf>
    <xf numFmtId="0" fontId="11" fillId="0" borderId="53" xfId="0" applyFont="1" applyBorder="1" applyProtection="1">
      <protection locked="0"/>
    </xf>
    <xf numFmtId="164" fontId="11" fillId="0" borderId="98" xfId="0" applyNumberFormat="1" applyFont="1" applyFill="1" applyBorder="1" applyProtection="1">
      <protection locked="0"/>
    </xf>
    <xf numFmtId="0" fontId="11" fillId="0" borderId="62" xfId="0" applyFont="1" applyBorder="1" applyProtection="1">
      <protection locked="0"/>
    </xf>
    <xf numFmtId="164" fontId="11" fillId="0" borderId="76" xfId="0" applyNumberFormat="1" applyFont="1" applyFill="1" applyBorder="1" applyProtection="1">
      <protection locked="0"/>
    </xf>
    <xf numFmtId="164" fontId="11" fillId="0" borderId="99" xfId="0" applyNumberFormat="1" applyFont="1" applyFill="1" applyBorder="1" applyProtection="1">
      <protection locked="0"/>
    </xf>
    <xf numFmtId="0" fontId="3" fillId="0" borderId="56" xfId="0" applyFont="1" applyBorder="1" applyAlignment="1" applyProtection="1">
      <protection locked="0"/>
    </xf>
    <xf numFmtId="0" fontId="11" fillId="0" borderId="3" xfId="0" applyFont="1" applyBorder="1" applyAlignment="1" applyProtection="1">
      <alignment horizontal="left"/>
      <protection locked="0"/>
    </xf>
    <xf numFmtId="0" fontId="3" fillId="2" borderId="7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6" xfId="0" applyFont="1" applyFill="1" applyBorder="1" applyAlignment="1" applyProtection="1">
      <alignment vertical="center"/>
      <protection locked="0"/>
    </xf>
    <xf numFmtId="164" fontId="11" fillId="0" borderId="97" xfId="0" applyNumberFormat="1" applyFont="1" applyFill="1" applyBorder="1" applyAlignment="1" applyProtection="1">
      <alignment horizontal="right" vertical="center"/>
      <protection locked="0"/>
    </xf>
    <xf numFmtId="164" fontId="11" fillId="0" borderId="100" xfId="0" applyNumberFormat="1" applyFont="1" applyFill="1" applyBorder="1" applyProtection="1">
      <protection locked="0"/>
    </xf>
    <xf numFmtId="164" fontId="11" fillId="2" borderId="93"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62" xfId="0" applyFont="1" applyFill="1" applyBorder="1" applyProtection="1">
      <protection locked="0"/>
    </xf>
    <xf numFmtId="0" fontId="11" fillId="2" borderId="72" xfId="0" applyFont="1" applyFill="1" applyBorder="1" applyProtection="1">
      <protection locked="0"/>
    </xf>
    <xf numFmtId="0" fontId="11" fillId="2" borderId="66" xfId="0" applyFont="1" applyFill="1" applyBorder="1" applyAlignment="1" applyProtection="1">
      <protection locked="0"/>
    </xf>
    <xf numFmtId="0" fontId="11" fillId="2" borderId="16" xfId="0" applyFont="1" applyFill="1" applyBorder="1" applyAlignment="1" applyProtection="1">
      <protection locked="0"/>
    </xf>
    <xf numFmtId="164" fontId="11" fillId="2" borderId="72" xfId="0" applyNumberFormat="1" applyFont="1" applyFill="1" applyBorder="1" applyProtection="1">
      <protection locked="0"/>
    </xf>
    <xf numFmtId="164" fontId="11" fillId="2" borderId="33" xfId="0" applyNumberFormat="1" applyFont="1" applyFill="1" applyBorder="1" applyProtection="1">
      <protection locked="0"/>
    </xf>
    <xf numFmtId="0" fontId="11" fillId="0" borderId="31" xfId="0" applyFont="1" applyBorder="1" applyProtection="1">
      <protection locked="0"/>
    </xf>
    <xf numFmtId="169" fontId="11" fillId="0" borderId="0" xfId="0" applyNumberFormat="1" applyFont="1" applyBorder="1" applyProtection="1">
      <protection locked="0"/>
    </xf>
    <xf numFmtId="0" fontId="11" fillId="0" borderId="0" xfId="0" applyFont="1" applyFill="1" applyBorder="1" applyAlignment="1" applyProtection="1">
      <alignment horizontal="left"/>
      <protection locked="0"/>
    </xf>
    <xf numFmtId="164" fontId="11" fillId="0" borderId="53"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8" xfId="0" applyFont="1" applyFill="1" applyBorder="1" applyAlignment="1" applyProtection="1">
      <protection locked="0"/>
    </xf>
    <xf numFmtId="0" fontId="3" fillId="2" borderId="56" xfId="0" applyFont="1" applyFill="1" applyBorder="1" applyAlignment="1" applyProtection="1">
      <protection locked="0"/>
    </xf>
    <xf numFmtId="164" fontId="11" fillId="4" borderId="105" xfId="0" applyNumberFormat="1" applyFont="1" applyFill="1" applyBorder="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53" xfId="0" applyFont="1" applyFill="1" applyBorder="1" applyAlignment="1" applyProtection="1">
      <protection locked="0"/>
    </xf>
    <xf numFmtId="0" fontId="11" fillId="2" borderId="53"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66" xfId="0" applyFont="1" applyFill="1" applyBorder="1" applyProtection="1">
      <protection locked="0"/>
    </xf>
    <xf numFmtId="164" fontId="11" fillId="0" borderId="33" xfId="0" applyNumberFormat="1" applyFont="1" applyFill="1" applyBorder="1" applyProtection="1">
      <protection locked="0"/>
    </xf>
    <xf numFmtId="0" fontId="3" fillId="0" borderId="80" xfId="0" applyFont="1" applyBorder="1" applyProtection="1">
      <protection locked="0"/>
    </xf>
    <xf numFmtId="0" fontId="11" fillId="0" borderId="6" xfId="0" applyFont="1" applyFill="1" applyBorder="1" applyProtection="1">
      <protection locked="0"/>
    </xf>
    <xf numFmtId="164" fontId="11" fillId="2" borderId="98" xfId="0" applyNumberFormat="1" applyFont="1" applyFill="1" applyBorder="1" applyProtection="1">
      <protection locked="0"/>
    </xf>
    <xf numFmtId="0" fontId="11" fillId="0" borderId="61" xfId="0" applyFont="1" applyBorder="1" applyProtection="1">
      <protection locked="0"/>
    </xf>
    <xf numFmtId="0" fontId="11" fillId="0" borderId="81" xfId="0" applyFont="1" applyBorder="1" applyProtection="1">
      <protection locked="0"/>
    </xf>
    <xf numFmtId="0" fontId="11" fillId="0" borderId="68" xfId="0" applyFont="1" applyFill="1" applyBorder="1" applyProtection="1">
      <protection locked="0"/>
    </xf>
    <xf numFmtId="0" fontId="11" fillId="0" borderId="35" xfId="0" applyFont="1" applyBorder="1" applyProtection="1">
      <protection locked="0"/>
    </xf>
    <xf numFmtId="0" fontId="11" fillId="0" borderId="68" xfId="0" applyFont="1" applyBorder="1" applyProtection="1">
      <protection locked="0"/>
    </xf>
    <xf numFmtId="164" fontId="11" fillId="2" borderId="35" xfId="0" applyNumberFormat="1" applyFont="1" applyFill="1" applyBorder="1" applyProtection="1">
      <protection locked="0"/>
    </xf>
    <xf numFmtId="164" fontId="11" fillId="2" borderId="81" xfId="0" applyNumberFormat="1" applyFont="1" applyFill="1" applyBorder="1" applyProtection="1">
      <protection locked="0"/>
    </xf>
    <xf numFmtId="164" fontId="11" fillId="2" borderId="109" xfId="0" applyNumberFormat="1" applyFont="1" applyFill="1" applyBorder="1" applyProtection="1">
      <protection locked="0"/>
    </xf>
    <xf numFmtId="0" fontId="3" fillId="4" borderId="84" xfId="0" applyFont="1" applyFill="1" applyBorder="1" applyAlignment="1" applyProtection="1">
      <alignment vertical="center"/>
      <protection locked="0"/>
    </xf>
    <xf numFmtId="0" fontId="3" fillId="4" borderId="70" xfId="0" applyFont="1" applyFill="1" applyBorder="1" applyAlignment="1" applyProtection="1">
      <alignment vertical="center"/>
      <protection locked="0"/>
    </xf>
    <xf numFmtId="0" fontId="3" fillId="4" borderId="85" xfId="0" applyFont="1" applyFill="1" applyBorder="1" applyAlignment="1" applyProtection="1">
      <alignment vertical="center"/>
      <protection locked="0"/>
    </xf>
    <xf numFmtId="0" fontId="3" fillId="0" borderId="71"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47"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0" xfId="0" applyFont="1" applyFill="1" applyBorder="1" applyAlignment="1" applyProtection="1">
      <alignment horizontal="center" vertical="center"/>
      <protection locked="0"/>
    </xf>
    <xf numFmtId="0" fontId="11" fillId="0" borderId="75" xfId="0" applyFont="1" applyFill="1" applyBorder="1" applyAlignment="1" applyProtection="1">
      <alignment vertical="center"/>
      <protection locked="0"/>
    </xf>
    <xf numFmtId="0" fontId="11" fillId="0" borderId="86" xfId="0" applyFont="1" applyFill="1" applyBorder="1" applyAlignment="1" applyProtection="1">
      <alignment vertical="center"/>
      <protection locked="0"/>
    </xf>
    <xf numFmtId="0" fontId="3" fillId="4" borderId="4"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56" xfId="0" applyFont="1" applyFill="1" applyBorder="1" applyAlignment="1" applyProtection="1">
      <alignment vertical="center"/>
      <protection locked="0"/>
    </xf>
    <xf numFmtId="0" fontId="3" fillId="0" borderId="0" xfId="0" applyFont="1" applyFill="1" applyBorder="1" applyAlignment="1" applyProtection="1">
      <protection locked="0"/>
    </xf>
    <xf numFmtId="0" fontId="3" fillId="4" borderId="111" xfId="0" applyFont="1" applyFill="1" applyBorder="1" applyAlignment="1" applyProtection="1">
      <alignment vertical="center"/>
      <protection locked="0"/>
    </xf>
    <xf numFmtId="0" fontId="3" fillId="4" borderId="112" xfId="0" applyFont="1" applyFill="1" applyBorder="1" applyAlignment="1" applyProtection="1">
      <alignment vertical="center"/>
      <protection locked="0"/>
    </xf>
    <xf numFmtId="0" fontId="3" fillId="4" borderId="78" xfId="0" applyFont="1" applyFill="1" applyBorder="1" applyAlignment="1" applyProtection="1">
      <alignment vertical="center"/>
      <protection locked="0"/>
    </xf>
    <xf numFmtId="164" fontId="3" fillId="4" borderId="32" xfId="0" applyNumberFormat="1" applyFont="1" applyFill="1" applyBorder="1" applyAlignment="1" applyProtection="1">
      <alignment horizontal="center" vertical="center" wrapText="1"/>
      <protection locked="0"/>
    </xf>
    <xf numFmtId="0" fontId="11" fillId="2" borderId="71"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4" borderId="72" xfId="0" applyFont="1" applyFill="1" applyBorder="1" applyAlignment="1" applyProtection="1">
      <protection locked="0"/>
    </xf>
    <xf numFmtId="0" fontId="3" fillId="4" borderId="2" xfId="0" applyFont="1" applyFill="1" applyBorder="1" applyAlignment="1" applyProtection="1">
      <alignment horizontal="center"/>
      <protection locked="0"/>
    </xf>
    <xf numFmtId="0" fontId="3" fillId="4" borderId="66" xfId="0" applyFont="1" applyFill="1" applyBorder="1" applyAlignment="1" applyProtection="1">
      <alignment horizontal="center"/>
      <protection locked="0"/>
    </xf>
    <xf numFmtId="0" fontId="3"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6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8" xfId="0" applyFont="1" applyFill="1" applyBorder="1" applyAlignment="1" applyProtection="1">
      <alignment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5" xfId="0" applyFont="1" applyBorder="1" applyAlignment="1">
      <alignment horizontal="center" vertical="center"/>
    </xf>
    <xf numFmtId="0" fontId="1" fillId="0" borderId="78" xfId="0" applyFont="1" applyBorder="1" applyAlignment="1">
      <alignment horizontal="center"/>
    </xf>
    <xf numFmtId="0" fontId="1" fillId="0" borderId="52" xfId="0" applyFont="1" applyBorder="1" applyAlignment="1">
      <alignment horizontal="center"/>
    </xf>
    <xf numFmtId="0" fontId="1" fillId="0" borderId="6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0" xfId="0" applyFont="1" applyBorder="1" applyAlignment="1">
      <alignment horizontal="left"/>
    </xf>
    <xf numFmtId="0" fontId="1" fillId="0" borderId="8" xfId="0" applyFont="1" applyBorder="1"/>
    <xf numFmtId="0" fontId="1" fillId="0" borderId="56"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2" applyFont="1" applyBorder="1" applyAlignment="1" applyProtection="1">
      <alignment horizontal="left"/>
      <protection locked="0"/>
    </xf>
    <xf numFmtId="0" fontId="4" fillId="0" borderId="0" xfId="42" applyBorder="1" applyAlignment="1" applyProtection="1">
      <alignment horizontal="left"/>
      <protection locked="0"/>
    </xf>
    <xf numFmtId="0" fontId="4" fillId="0" borderId="53" xfId="42" applyBorder="1" applyAlignment="1" applyProtection="1">
      <alignment horizontal="left"/>
      <protection locked="0"/>
    </xf>
    <xf numFmtId="164" fontId="4" fillId="0" borderId="3" xfId="9" applyNumberFormat="1" applyFont="1" applyBorder="1" applyAlignment="1" applyProtection="1">
      <alignment horizontal="right"/>
      <protection locked="0"/>
    </xf>
    <xf numFmtId="164" fontId="4" fillId="0" borderId="0" xfId="9"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53" xfId="0" applyBorder="1" applyAlignment="1" applyProtection="1">
      <alignment horizontal="left"/>
      <protection locked="0"/>
    </xf>
    <xf numFmtId="0" fontId="4" fillId="0" borderId="2" xfId="0" applyFont="1" applyBorder="1" applyAlignment="1">
      <alignment horizontal="left"/>
    </xf>
    <xf numFmtId="0" fontId="4" fillId="0" borderId="66" xfId="0" applyFont="1" applyBorder="1" applyAlignment="1">
      <alignment horizontal="left"/>
    </xf>
    <xf numFmtId="164" fontId="0" fillId="0" borderId="72" xfId="9" applyNumberFormat="1" applyFont="1" applyBorder="1" applyAlignment="1" applyProtection="1">
      <alignment horizontal="right"/>
      <protection hidden="1"/>
    </xf>
    <xf numFmtId="164" fontId="0" fillId="0" borderId="2" xfId="9"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53" xfId="0" applyFont="1" applyBorder="1" applyAlignment="1">
      <alignment horizontal="left"/>
    </xf>
    <xf numFmtId="164" fontId="4" fillId="0" borderId="3" xfId="9" applyNumberFormat="1" applyFont="1" applyBorder="1" applyAlignment="1" applyProtection="1">
      <alignment horizontal="right"/>
      <protection hidden="1"/>
    </xf>
    <xf numFmtId="164" fontId="4" fillId="0" borderId="0" xfId="9" applyNumberFormat="1" applyFont="1" applyBorder="1" applyAlignment="1" applyProtection="1">
      <alignment horizontal="right"/>
      <protection hidden="1"/>
    </xf>
    <xf numFmtId="0" fontId="4" fillId="0" borderId="53" xfId="0" applyFont="1" applyBorder="1" applyAlignment="1" applyProtection="1">
      <alignment horizontal="left"/>
      <protection locked="0"/>
    </xf>
    <xf numFmtId="164" fontId="4" fillId="0" borderId="3" xfId="9" applyNumberFormat="1" applyFont="1" applyBorder="1" applyAlignment="1" applyProtection="1">
      <alignment horizontal="center"/>
      <protection locked="0"/>
    </xf>
    <xf numFmtId="164" fontId="4" fillId="0" borderId="0" xfId="9" applyNumberFormat="1" applyFont="1" applyBorder="1" applyAlignment="1" applyProtection="1">
      <alignment horizontal="center"/>
      <protection locked="0"/>
    </xf>
    <xf numFmtId="0" fontId="4" fillId="0" borderId="53" xfId="42" applyFont="1" applyBorder="1" applyAlignment="1" applyProtection="1">
      <alignment horizontal="left"/>
      <protection locked="0"/>
    </xf>
    <xf numFmtId="0" fontId="1" fillId="0" borderId="55" xfId="0" applyFont="1" applyBorder="1" applyAlignment="1">
      <alignment horizontal="center"/>
    </xf>
    <xf numFmtId="164" fontId="4" fillId="0" borderId="63" xfId="9" applyNumberFormat="1" applyFont="1" applyBorder="1" applyAlignment="1" applyProtection="1">
      <alignment horizontal="center"/>
    </xf>
    <xf numFmtId="164" fontId="4" fillId="0" borderId="5" xfId="9" applyNumberFormat="1" applyFont="1" applyBorder="1" applyAlignment="1" applyProtection="1">
      <alignment horizontal="center"/>
    </xf>
    <xf numFmtId="164" fontId="4" fillId="0" borderId="4" xfId="9" applyNumberFormat="1" applyFont="1" applyBorder="1" applyAlignment="1" applyProtection="1">
      <alignment horizontal="right"/>
    </xf>
    <xf numFmtId="164" fontId="4" fillId="0" borderId="8" xfId="9" applyNumberFormat="1" applyFont="1" applyBorder="1" applyAlignment="1" applyProtection="1">
      <alignment horizontal="right"/>
    </xf>
    <xf numFmtId="164" fontId="0" fillId="0" borderId="72" xfId="9" applyNumberFormat="1" applyFont="1" applyBorder="1" applyAlignment="1" applyProtection="1">
      <alignment horizontal="right"/>
    </xf>
    <xf numFmtId="164" fontId="0" fillId="0" borderId="2" xfId="9" applyNumberFormat="1" applyFont="1" applyBorder="1" applyAlignment="1" applyProtection="1">
      <alignment horizontal="right"/>
    </xf>
    <xf numFmtId="0" fontId="4" fillId="0" borderId="7" xfId="0" applyFont="1" applyBorder="1" applyAlignment="1">
      <alignment horizontal="center"/>
    </xf>
    <xf numFmtId="0" fontId="4" fillId="0" borderId="2" xfId="0" applyFont="1" applyBorder="1" applyAlignment="1">
      <alignment horizontal="center"/>
    </xf>
    <xf numFmtId="0" fontId="4" fillId="0" borderId="66" xfId="0" applyFont="1" applyBorder="1" applyAlignment="1">
      <alignment horizontal="center"/>
    </xf>
    <xf numFmtId="164" fontId="0" fillId="0" borderId="72"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1" xfId="0" applyFont="1" applyBorder="1"/>
    <xf numFmtId="0" fontId="1" fillId="0" borderId="1" xfId="0" applyFont="1" applyBorder="1"/>
    <xf numFmtId="0" fontId="1" fillId="0" borderId="36" xfId="0" applyFont="1" applyBorder="1"/>
    <xf numFmtId="164" fontId="0" fillId="0" borderId="61" xfId="8" applyNumberFormat="1" applyFont="1" applyBorder="1" applyAlignment="1" applyProtection="1">
      <alignment horizontal="right"/>
      <protection hidden="1"/>
    </xf>
    <xf numFmtId="164" fontId="0" fillId="0" borderId="1" xfId="8" applyNumberFormat="1" applyFont="1" applyBorder="1" applyAlignment="1" applyProtection="1">
      <alignment horizontal="right"/>
      <protection hidden="1"/>
    </xf>
    <xf numFmtId="0" fontId="1" fillId="0" borderId="8" xfId="0" applyFont="1" applyBorder="1" applyAlignment="1">
      <alignment horizontal="left"/>
    </xf>
    <xf numFmtId="0" fontId="1" fillId="0" borderId="56" xfId="0" applyFont="1" applyBorder="1" applyAlignment="1">
      <alignment horizontal="left"/>
    </xf>
    <xf numFmtId="0" fontId="12" fillId="0" borderId="113" xfId="0" applyFont="1" applyBorder="1" applyAlignment="1">
      <alignment horizontal="center" wrapText="1"/>
    </xf>
    <xf numFmtId="0" fontId="12" fillId="0" borderId="114"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4" fillId="0" borderId="75" xfId="0" applyFont="1" applyBorder="1" applyAlignment="1">
      <alignment horizontal="left"/>
    </xf>
    <xf numFmtId="0" fontId="4" fillId="0" borderId="76" xfId="0" applyFont="1" applyBorder="1" applyAlignment="1">
      <alignment horizontal="left"/>
    </xf>
    <xf numFmtId="0" fontId="9" fillId="0" borderId="0" xfId="0" applyFont="1" applyBorder="1" applyAlignment="1" applyProtection="1">
      <alignment horizontal="center" vertical="top" wrapText="1"/>
      <protection locked="0"/>
    </xf>
    <xf numFmtId="0" fontId="9" fillId="0" borderId="0" xfId="0" applyFont="1" applyBorder="1" applyAlignment="1" applyProtection="1">
      <alignment horizontal="left"/>
      <protection locked="0"/>
    </xf>
  </cellXfs>
  <cellStyles count="79">
    <cellStyle name="Calc Currency (0)" xfId="1" xr:uid="{00000000-0005-0000-0000-000000000000}"/>
    <cellStyle name="Comma" xfId="2" builtinId="3"/>
    <cellStyle name="Comma 2" xfId="3" xr:uid="{00000000-0005-0000-0000-000002000000}"/>
    <cellStyle name="Comma 2 2" xfId="4" xr:uid="{00000000-0005-0000-0000-000003000000}"/>
    <cellStyle name="Comma 2 2 2" xfId="5" xr:uid="{00000000-0005-0000-0000-000004000000}"/>
    <cellStyle name="Comma 2 3" xfId="6" xr:uid="{00000000-0005-0000-0000-000005000000}"/>
    <cellStyle name="Comma 3" xfId="7" xr:uid="{00000000-0005-0000-0000-000006000000}"/>
    <cellStyle name="Currency" xfId="8" builtinId="4"/>
    <cellStyle name="Currency 2" xfId="9" xr:uid="{00000000-0005-0000-0000-000008000000}"/>
    <cellStyle name="Currency 2 2" xfId="10" xr:uid="{00000000-0005-0000-0000-000009000000}"/>
    <cellStyle name="Currency 2 2 2" xfId="11" xr:uid="{00000000-0005-0000-0000-00000A000000}"/>
    <cellStyle name="Currency 2 2 2 2" xfId="12" xr:uid="{00000000-0005-0000-0000-00000B000000}"/>
    <cellStyle name="Currency 2 2 3" xfId="13" xr:uid="{00000000-0005-0000-0000-00000C000000}"/>
    <cellStyle name="Currency 2 3" xfId="14" xr:uid="{00000000-0005-0000-0000-00000D000000}"/>
    <cellStyle name="Currency 2 3 2" xfId="15" xr:uid="{00000000-0005-0000-0000-00000E000000}"/>
    <cellStyle name="Currency 2 4" xfId="16" xr:uid="{00000000-0005-0000-0000-00000F000000}"/>
    <cellStyle name="Currency 2 4 2" xfId="17" xr:uid="{00000000-0005-0000-0000-000010000000}"/>
    <cellStyle name="Currency 3" xfId="18" xr:uid="{00000000-0005-0000-0000-000011000000}"/>
    <cellStyle name="Currency 3 2" xfId="19" xr:uid="{00000000-0005-0000-0000-000012000000}"/>
    <cellStyle name="Currency 3 2 2" xfId="20" xr:uid="{00000000-0005-0000-0000-000013000000}"/>
    <cellStyle name="Currency 3 3" xfId="21" xr:uid="{00000000-0005-0000-0000-000014000000}"/>
    <cellStyle name="Currency 3 3 2" xfId="22" xr:uid="{00000000-0005-0000-0000-000015000000}"/>
    <cellStyle name="Currency 4" xfId="23" xr:uid="{00000000-0005-0000-0000-000016000000}"/>
    <cellStyle name="Currency 4 2" xfId="24" xr:uid="{00000000-0005-0000-0000-000017000000}"/>
    <cellStyle name="Currency 5" xfId="25" xr:uid="{00000000-0005-0000-0000-000018000000}"/>
    <cellStyle name="Currency 5 2" xfId="26" xr:uid="{00000000-0005-0000-0000-000019000000}"/>
    <cellStyle name="Currency 6" xfId="27" xr:uid="{00000000-0005-0000-0000-00001A000000}"/>
    <cellStyle name="Currency 6 2" xfId="28" xr:uid="{00000000-0005-0000-0000-00001B000000}"/>
    <cellStyle name="Currency 7" xfId="29" xr:uid="{00000000-0005-0000-0000-00001C000000}"/>
    <cellStyle name="Currency 7 2" xfId="30" xr:uid="{00000000-0005-0000-0000-00001D000000}"/>
    <cellStyle name="Currency 8" xfId="31" xr:uid="{00000000-0005-0000-0000-00001E000000}"/>
    <cellStyle name="Currency 8 2" xfId="32" xr:uid="{00000000-0005-0000-0000-00001F000000}"/>
    <cellStyle name="Header1" xfId="33" xr:uid="{00000000-0005-0000-0000-000020000000}"/>
    <cellStyle name="Header2" xfId="34" xr:uid="{00000000-0005-0000-0000-000021000000}"/>
    <cellStyle name="Hyperlink" xfId="35" builtinId="8"/>
    <cellStyle name="Normal" xfId="0" builtinId="0"/>
    <cellStyle name="Normal 10" xfId="36" xr:uid="{00000000-0005-0000-0000-000024000000}"/>
    <cellStyle name="Normal 10 2" xfId="37" xr:uid="{00000000-0005-0000-0000-000025000000}"/>
    <cellStyle name="Normal 11" xfId="38" xr:uid="{00000000-0005-0000-0000-000026000000}"/>
    <cellStyle name="Normal 11 2" xfId="39" xr:uid="{00000000-0005-0000-0000-000027000000}"/>
    <cellStyle name="Normal 12" xfId="40" xr:uid="{00000000-0005-0000-0000-000028000000}"/>
    <cellStyle name="Normal 12 2" xfId="41" xr:uid="{00000000-0005-0000-0000-000029000000}"/>
    <cellStyle name="Normal 2" xfId="42" xr:uid="{00000000-0005-0000-0000-00002A000000}"/>
    <cellStyle name="Normal 2 2" xfId="43" xr:uid="{00000000-0005-0000-0000-00002B000000}"/>
    <cellStyle name="Normal 2 3" xfId="44" xr:uid="{00000000-0005-0000-0000-00002C000000}"/>
    <cellStyle name="Normal 3" xfId="45" xr:uid="{00000000-0005-0000-0000-00002D000000}"/>
    <cellStyle name="Normal 3 2" xfId="46" xr:uid="{00000000-0005-0000-0000-00002E000000}"/>
    <cellStyle name="Normal 4" xfId="47" xr:uid="{00000000-0005-0000-0000-00002F000000}"/>
    <cellStyle name="Normal 4 2" xfId="48" xr:uid="{00000000-0005-0000-0000-000030000000}"/>
    <cellStyle name="Normal 4 2 2" xfId="49" xr:uid="{00000000-0005-0000-0000-000031000000}"/>
    <cellStyle name="Normal 4 3" xfId="50" xr:uid="{00000000-0005-0000-0000-000032000000}"/>
    <cellStyle name="Normal 4 3 2" xfId="51" xr:uid="{00000000-0005-0000-0000-000033000000}"/>
    <cellStyle name="Normal 4 4" xfId="52" xr:uid="{00000000-0005-0000-0000-000034000000}"/>
    <cellStyle name="Normal 4 4 2" xfId="53" xr:uid="{00000000-0005-0000-0000-000035000000}"/>
    <cellStyle name="Normal 5" xfId="54" xr:uid="{00000000-0005-0000-0000-000036000000}"/>
    <cellStyle name="Normal 6" xfId="55" xr:uid="{00000000-0005-0000-0000-000037000000}"/>
    <cellStyle name="Normal 6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Normal 9 2" xfId="61" xr:uid="{00000000-0005-0000-0000-00003D000000}"/>
    <cellStyle name="Percent" xfId="62" builtinId="5"/>
    <cellStyle name="Percent 2" xfId="63" xr:uid="{00000000-0005-0000-0000-00003F000000}"/>
    <cellStyle name="Percent 2 2" xfId="64" xr:uid="{00000000-0005-0000-0000-000040000000}"/>
    <cellStyle name="Percent 2 2 2" xfId="65" xr:uid="{00000000-0005-0000-0000-000041000000}"/>
    <cellStyle name="Percent 2 3" xfId="66" xr:uid="{00000000-0005-0000-0000-000042000000}"/>
    <cellStyle name="Percent 2 3 2" xfId="67" xr:uid="{00000000-0005-0000-0000-000043000000}"/>
    <cellStyle name="Percent 2 4" xfId="68" xr:uid="{00000000-0005-0000-0000-000044000000}"/>
    <cellStyle name="Percent 3" xfId="69" xr:uid="{00000000-0005-0000-0000-000045000000}"/>
    <cellStyle name="Percent 3 2" xfId="70" xr:uid="{00000000-0005-0000-0000-000046000000}"/>
    <cellStyle name="Percent 3 2 2" xfId="71" xr:uid="{00000000-0005-0000-0000-000047000000}"/>
    <cellStyle name="Percent 3 3" xfId="72" xr:uid="{00000000-0005-0000-0000-000048000000}"/>
    <cellStyle name="Percent 3 3 2" xfId="73" xr:uid="{00000000-0005-0000-0000-000049000000}"/>
    <cellStyle name="Percent 3 4" xfId="74" xr:uid="{00000000-0005-0000-0000-00004A000000}"/>
    <cellStyle name="Percent 4" xfId="75" xr:uid="{00000000-0005-0000-0000-00004B000000}"/>
    <cellStyle name="Percent 4 2" xfId="76" xr:uid="{00000000-0005-0000-0000-00004C000000}"/>
    <cellStyle name="Percent 5" xfId="77" xr:uid="{00000000-0005-0000-0000-00004D000000}"/>
    <cellStyle name="Percent 6" xfId="78" xr:uid="{00000000-0005-0000-0000-00004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theme" Target="theme/theme1.xml"/><Relationship Id="rId60"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dhcsinternetauthoring/MHSA/Shared%20Budget%20Folder/Revenue%20and%20Expenditure/FY15-16%20Revenue%20&amp;%20Expenditure%20Report/FY%2015-16%20MHSA%20Expenditures%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AMIS Recon"/>
      <sheetName val="RER Summary"/>
      <sheetName val="Non-personnel Summary"/>
      <sheetName val="Personnel Summary"/>
      <sheetName val="Adjustments to Prior Years"/>
      <sheetName val="TargetPopulationBy Service Cat."/>
      <sheetName val="CMHS63 "/>
      <sheetName val="Medi-Cal_Contracts"/>
      <sheetName val="YMCA_Urban"/>
      <sheetName val="FSA"/>
      <sheetName val="Baker Places"/>
      <sheetName val="Hyde"/>
      <sheetName val="UCSF"/>
      <sheetName val="Medi-Cal_Personnel"/>
      <sheetName val="LDS"/>
      <sheetName val="EIS"/>
    </sheetNames>
    <sheetDataSet>
      <sheetData sheetId="0" refreshError="1"/>
      <sheetData sheetId="1" refreshError="1"/>
      <sheetData sheetId="2">
        <row r="4">
          <cell r="A4" t="str">
            <v>MHSA Service Category</v>
          </cell>
          <cell r="B4" t="str">
            <v>Total Revenue
(Section 2 on RER)</v>
          </cell>
          <cell r="C4" t="str">
            <v>Personnel</v>
          </cell>
          <cell r="D4" t="str">
            <v>Non-Personnel</v>
          </cell>
          <cell r="E4" t="str">
            <v>Subtotal (Net of CR or "other" adjustments to prior years, but gross of FFP adjustment)</v>
          </cell>
          <cell r="F4" t="str">
            <v>Contract FFP Adjustment</v>
          </cell>
          <cell r="G4" t="str">
            <v>Civil Servant FFP Adjustment</v>
          </cell>
          <cell r="H4" t="str">
            <v>*Please see column O for the total FFP amount reported to the State
Total FFP Adjustment (adjustment only)</v>
          </cell>
          <cell r="I4" t="str">
            <v>TOTAL RER REPORTED 
(Section 3A on RER)</v>
          </cell>
          <cell r="J4" t="str">
            <v>1991 Realignment</v>
          </cell>
          <cell r="K4" t="str">
            <v>**2011 Realignment
Behavioral Health Subaccount</v>
          </cell>
          <cell r="L4" t="str">
            <v>Other Funding</v>
          </cell>
          <cell r="M4" t="str">
            <v>Total Gross Mental Health Program Cost
(Section 3Be on RER)</v>
          </cell>
        </row>
        <row r="5">
          <cell r="A5" t="str">
            <v xml:space="preserve">Cap 3.  Sunset Mental Health </v>
          </cell>
          <cell r="C5">
            <v>0</v>
          </cell>
          <cell r="D5">
            <v>0</v>
          </cell>
          <cell r="E5">
            <v>0</v>
          </cell>
          <cell r="F5">
            <v>0</v>
          </cell>
          <cell r="G5">
            <v>0</v>
          </cell>
          <cell r="H5">
            <v>0</v>
          </cell>
          <cell r="I5">
            <v>0</v>
          </cell>
          <cell r="J5">
            <v>0</v>
          </cell>
          <cell r="K5">
            <v>0</v>
          </cell>
          <cell r="L5">
            <v>0</v>
          </cell>
          <cell r="M5">
            <v>0</v>
          </cell>
        </row>
        <row r="6">
          <cell r="A6" t="str">
            <v>Cap 6.  South of Market Mental Health</v>
          </cell>
          <cell r="C6">
            <v>37848.79</v>
          </cell>
          <cell r="D6">
            <v>336591.25</v>
          </cell>
          <cell r="E6">
            <v>374440.04</v>
          </cell>
          <cell r="F6">
            <v>0</v>
          </cell>
          <cell r="G6">
            <v>0</v>
          </cell>
          <cell r="H6">
            <v>0</v>
          </cell>
          <cell r="I6">
            <v>374440.04</v>
          </cell>
          <cell r="J6">
            <v>0</v>
          </cell>
          <cell r="K6">
            <v>0</v>
          </cell>
          <cell r="L6">
            <v>674211</v>
          </cell>
          <cell r="M6">
            <v>1048651.04</v>
          </cell>
        </row>
        <row r="7">
          <cell r="A7" t="str">
            <v>Cap 7.  TBD through CPP</v>
          </cell>
          <cell r="C7">
            <v>0</v>
          </cell>
          <cell r="D7">
            <v>0</v>
          </cell>
          <cell r="E7">
            <v>0</v>
          </cell>
          <cell r="F7">
            <v>0</v>
          </cell>
          <cell r="G7">
            <v>0</v>
          </cell>
          <cell r="H7">
            <v>0</v>
          </cell>
          <cell r="I7">
            <v>0</v>
          </cell>
          <cell r="J7">
            <v>0</v>
          </cell>
          <cell r="K7">
            <v>0</v>
          </cell>
          <cell r="L7">
            <v>0</v>
          </cell>
          <cell r="M7">
            <v>0</v>
          </cell>
        </row>
        <row r="8">
          <cell r="A8" t="str">
            <v xml:space="preserve">CSS Admin </v>
          </cell>
          <cell r="C8">
            <v>916912.54999999981</v>
          </cell>
          <cell r="D8">
            <v>650514.52999999991</v>
          </cell>
          <cell r="E8">
            <v>1567427.0799999996</v>
          </cell>
          <cell r="F8">
            <v>0</v>
          </cell>
          <cell r="G8">
            <v>0</v>
          </cell>
          <cell r="H8">
            <v>0</v>
          </cell>
          <cell r="I8">
            <v>1567427.0799999996</v>
          </cell>
          <cell r="J8">
            <v>0</v>
          </cell>
          <cell r="K8">
            <v>0</v>
          </cell>
          <cell r="L8">
            <v>0</v>
          </cell>
          <cell r="M8">
            <v>1567427.0799999996</v>
          </cell>
        </row>
        <row r="9">
          <cell r="A9" t="str">
            <v xml:space="preserve">CSS Evaluation </v>
          </cell>
          <cell r="C9">
            <v>449992.67999999993</v>
          </cell>
          <cell r="D9">
            <v>66196.740000000005</v>
          </cell>
          <cell r="E9">
            <v>516189.41999999993</v>
          </cell>
          <cell r="F9">
            <v>0</v>
          </cell>
          <cell r="G9">
            <v>0</v>
          </cell>
          <cell r="H9">
            <v>0</v>
          </cell>
          <cell r="I9">
            <v>516189.41999999993</v>
          </cell>
          <cell r="J9">
            <v>0</v>
          </cell>
          <cell r="K9">
            <v>0</v>
          </cell>
          <cell r="L9">
            <v>0</v>
          </cell>
          <cell r="M9">
            <v>516189.41999999993</v>
          </cell>
        </row>
        <row r="10">
          <cell r="A10" t="str">
            <v xml:space="preserve">CSS FSP Permanent Housing (capital units and master lease) </v>
          </cell>
          <cell r="C10">
            <v>0</v>
          </cell>
          <cell r="D10">
            <v>660537.74000000011</v>
          </cell>
          <cell r="E10">
            <v>660537.74000000011</v>
          </cell>
          <cell r="F10">
            <v>0</v>
          </cell>
          <cell r="G10">
            <v>0</v>
          </cell>
          <cell r="H10">
            <v>0</v>
          </cell>
          <cell r="I10">
            <v>660537.74000000011</v>
          </cell>
          <cell r="J10">
            <v>0</v>
          </cell>
          <cell r="K10">
            <v>0</v>
          </cell>
          <cell r="L10">
            <v>0</v>
          </cell>
          <cell r="M10">
            <v>660537.74000000011</v>
          </cell>
        </row>
        <row r="11">
          <cell r="A11" t="str">
            <v>CSS Full Service Partnership 1. CYF (0-5)</v>
          </cell>
          <cell r="C11">
            <v>0</v>
          </cell>
          <cell r="D11">
            <v>237705.09</v>
          </cell>
          <cell r="E11">
            <v>237705.09</v>
          </cell>
          <cell r="F11">
            <v>0</v>
          </cell>
          <cell r="G11">
            <v>0</v>
          </cell>
          <cell r="H11">
            <v>0</v>
          </cell>
          <cell r="I11">
            <v>237705.09</v>
          </cell>
          <cell r="J11">
            <v>0</v>
          </cell>
          <cell r="K11">
            <v>0</v>
          </cell>
          <cell r="L11">
            <v>121822</v>
          </cell>
          <cell r="M11">
            <v>359527.08999999997</v>
          </cell>
        </row>
        <row r="12">
          <cell r="A12" t="str">
            <v>CSS Full Service Partnership 2. CYF (6-18)</v>
          </cell>
          <cell r="C12">
            <v>572184.30000000005</v>
          </cell>
          <cell r="D12">
            <v>362571.41000000003</v>
          </cell>
          <cell r="E12">
            <v>934755.71000000008</v>
          </cell>
          <cell r="F12">
            <v>0</v>
          </cell>
          <cell r="G12">
            <v>95814.897383999982</v>
          </cell>
          <cell r="H12">
            <v>95814.897383999982</v>
          </cell>
          <cell r="I12">
            <v>838940.81261600007</v>
          </cell>
          <cell r="J12">
            <v>118513</v>
          </cell>
          <cell r="K12">
            <v>1551586</v>
          </cell>
          <cell r="L12">
            <v>1519078</v>
          </cell>
          <cell r="M12">
            <v>4028117.812616</v>
          </cell>
        </row>
        <row r="13">
          <cell r="A13" t="str">
            <v>CSS Full Service Partnership 3. TAY (18-24)</v>
          </cell>
          <cell r="C13">
            <v>615837.52</v>
          </cell>
          <cell r="D13">
            <v>424162.37</v>
          </cell>
          <cell r="E13">
            <v>1039999.89</v>
          </cell>
          <cell r="F13">
            <v>0</v>
          </cell>
          <cell r="G13">
            <v>169871.1380375</v>
          </cell>
          <cell r="H13">
            <v>169871.1380375</v>
          </cell>
          <cell r="I13">
            <v>870128.75196250004</v>
          </cell>
          <cell r="J13">
            <v>998</v>
          </cell>
          <cell r="K13">
            <v>67150</v>
          </cell>
          <cell r="L13">
            <v>1502</v>
          </cell>
          <cell r="M13">
            <v>939778.75196250004</v>
          </cell>
        </row>
        <row r="14">
          <cell r="A14" t="str">
            <v>CSS Full Service Partnership 4. Adults (18-59)</v>
          </cell>
          <cell r="C14">
            <v>1893628.99</v>
          </cell>
          <cell r="D14">
            <v>2129113.4699999997</v>
          </cell>
          <cell r="E14">
            <v>4022742.46</v>
          </cell>
          <cell r="F14">
            <v>0</v>
          </cell>
          <cell r="G14">
            <v>445785.78492224996</v>
          </cell>
          <cell r="H14">
            <v>445785.78492224996</v>
          </cell>
          <cell r="I14">
            <v>3576956.6750777499</v>
          </cell>
          <cell r="J14">
            <v>2026863</v>
          </cell>
          <cell r="K14">
            <v>0</v>
          </cell>
          <cell r="L14">
            <v>3762237</v>
          </cell>
          <cell r="M14">
            <v>9366056.6750777494</v>
          </cell>
        </row>
        <row r="15">
          <cell r="A15" t="str">
            <v>CSS Full Service Partnership 5. Older Adults (60+)</v>
          </cell>
          <cell r="C15">
            <v>260502.40999999997</v>
          </cell>
          <cell r="D15">
            <v>695267.00000000012</v>
          </cell>
          <cell r="E15">
            <v>955769.41000000015</v>
          </cell>
          <cell r="F15">
            <v>80178.563311917882</v>
          </cell>
          <cell r="G15">
            <v>9745.8904000000002</v>
          </cell>
          <cell r="H15">
            <v>89924.453711917886</v>
          </cell>
          <cell r="I15">
            <v>865844.95628808229</v>
          </cell>
          <cell r="J15">
            <v>13001</v>
          </cell>
          <cell r="K15">
            <v>0</v>
          </cell>
          <cell r="L15">
            <v>18358</v>
          </cell>
          <cell r="M15">
            <v>897203.95628808229</v>
          </cell>
        </row>
        <row r="16">
          <cell r="A16" t="str">
            <v>CSS Full Service Partnership 6. AOT</v>
          </cell>
          <cell r="C16">
            <v>98539.26999999999</v>
          </cell>
          <cell r="D16">
            <v>238048.59999999998</v>
          </cell>
          <cell r="E16">
            <v>336587.87</v>
          </cell>
          <cell r="F16">
            <v>0</v>
          </cell>
          <cell r="G16">
            <v>0</v>
          </cell>
          <cell r="H16">
            <v>0</v>
          </cell>
          <cell r="I16">
            <v>336587.87</v>
          </cell>
          <cell r="J16">
            <v>547213</v>
          </cell>
          <cell r="K16">
            <v>0</v>
          </cell>
          <cell r="L16">
            <v>440159</v>
          </cell>
          <cell r="M16">
            <v>1323959.8700000001</v>
          </cell>
        </row>
        <row r="17">
          <cell r="A17" t="str">
            <v xml:space="preserve">CSS Other Non-FSP 1. Behavioral Health Access Center </v>
          </cell>
          <cell r="C17">
            <v>947887.79</v>
          </cell>
          <cell r="D17">
            <v>177969.16</v>
          </cell>
          <cell r="E17">
            <v>1125856.95</v>
          </cell>
          <cell r="F17">
            <v>0</v>
          </cell>
          <cell r="G17">
            <v>149871.93207499999</v>
          </cell>
          <cell r="H17">
            <v>149871.93207499999</v>
          </cell>
          <cell r="I17">
            <v>975985.01792499993</v>
          </cell>
          <cell r="J17">
            <v>0</v>
          </cell>
          <cell r="K17">
            <v>0</v>
          </cell>
          <cell r="L17">
            <v>25000</v>
          </cell>
          <cell r="M17">
            <v>1000985.0179249999</v>
          </cell>
        </row>
        <row r="18">
          <cell r="A18" t="str">
            <v xml:space="preserve">CSS Other Non-FSP 2. Prevention and Recovery in Early Psychosis (PREP) </v>
          </cell>
          <cell r="C18">
            <v>0</v>
          </cell>
          <cell r="D18">
            <v>1192183.46</v>
          </cell>
          <cell r="E18">
            <v>1192183.46</v>
          </cell>
          <cell r="F18">
            <v>0</v>
          </cell>
          <cell r="G18">
            <v>0</v>
          </cell>
          <cell r="H18">
            <v>0</v>
          </cell>
          <cell r="I18">
            <v>1192183.46</v>
          </cell>
          <cell r="J18">
            <v>5175</v>
          </cell>
          <cell r="K18">
            <v>64829</v>
          </cell>
          <cell r="L18">
            <v>109883</v>
          </cell>
          <cell r="M18">
            <v>1372070.46</v>
          </cell>
        </row>
        <row r="19">
          <cell r="A19" t="str">
            <v xml:space="preserve">CSS Other Non-FSP 3. Trauma Recovery </v>
          </cell>
          <cell r="C19">
            <v>0</v>
          </cell>
          <cell r="D19">
            <v>447242.07</v>
          </cell>
          <cell r="E19">
            <v>447242.07</v>
          </cell>
          <cell r="F19">
            <v>0</v>
          </cell>
          <cell r="G19">
            <v>0</v>
          </cell>
          <cell r="H19">
            <v>0</v>
          </cell>
          <cell r="I19">
            <v>447242.07</v>
          </cell>
          <cell r="J19">
            <v>148</v>
          </cell>
          <cell r="K19">
            <v>3093</v>
          </cell>
          <cell r="L19">
            <v>0</v>
          </cell>
          <cell r="M19">
            <v>450483.07</v>
          </cell>
        </row>
        <row r="20">
          <cell r="A20" t="str">
            <v xml:space="preserve">CSS Other Non-FSP 4. Integration of Behavioral Health and Primary Care </v>
          </cell>
          <cell r="C20">
            <v>1224327.2000000002</v>
          </cell>
          <cell r="D20">
            <v>332825</v>
          </cell>
          <cell r="E20">
            <v>1557152.2000000002</v>
          </cell>
          <cell r="F20">
            <v>0</v>
          </cell>
          <cell r="G20">
            <v>183481.74621374998</v>
          </cell>
          <cell r="H20">
            <v>183481.74621374998</v>
          </cell>
          <cell r="I20">
            <v>1373670.4537862502</v>
          </cell>
          <cell r="J20">
            <v>0</v>
          </cell>
          <cell r="K20">
            <v>0</v>
          </cell>
          <cell r="L20">
            <v>0</v>
          </cell>
          <cell r="M20">
            <v>1373670.4537862502</v>
          </cell>
        </row>
        <row r="21">
          <cell r="A21" t="str">
            <v>CSS Other Non-FSP 5. Integration of Behavioral Health Into the Juvenile Justice System</v>
          </cell>
          <cell r="C21">
            <v>123213.30000000005</v>
          </cell>
          <cell r="D21">
            <v>339924.73</v>
          </cell>
          <cell r="E21">
            <v>463138.03</v>
          </cell>
          <cell r="F21">
            <v>0</v>
          </cell>
          <cell r="G21">
            <v>1377.9749999999999</v>
          </cell>
          <cell r="H21">
            <v>1377.9749999999999</v>
          </cell>
          <cell r="I21">
            <v>461760.05500000005</v>
          </cell>
          <cell r="J21">
            <v>642</v>
          </cell>
          <cell r="K21">
            <v>117422</v>
          </cell>
          <cell r="L21">
            <v>1278776</v>
          </cell>
          <cell r="M21">
            <v>1858600.0550000002</v>
          </cell>
        </row>
        <row r="22">
          <cell r="A22" t="str">
            <v xml:space="preserve">CSS Other Non-FSP 6. Dual Diagnosis Residential Treatment </v>
          </cell>
          <cell r="C22">
            <v>0</v>
          </cell>
          <cell r="D22">
            <v>88753.999999999985</v>
          </cell>
          <cell r="E22">
            <v>88753.999999999985</v>
          </cell>
          <cell r="F22">
            <v>0</v>
          </cell>
          <cell r="G22">
            <v>0</v>
          </cell>
          <cell r="H22">
            <v>0</v>
          </cell>
          <cell r="I22">
            <v>88753.999999999985</v>
          </cell>
          <cell r="J22">
            <v>0</v>
          </cell>
          <cell r="K22">
            <v>0</v>
          </cell>
          <cell r="L22">
            <v>0</v>
          </cell>
          <cell r="M22">
            <v>88753.999999999985</v>
          </cell>
        </row>
        <row r="23">
          <cell r="A23" t="str">
            <v>CSS Other Non-FSP 7. Peer-to-Peer Supports: Clinic and Community-Based  (50% FSP)</v>
          </cell>
          <cell r="C23">
            <v>813138.45000000007</v>
          </cell>
          <cell r="D23">
            <v>3299234.44</v>
          </cell>
          <cell r="E23">
            <v>4112372.89</v>
          </cell>
          <cell r="F23">
            <v>0</v>
          </cell>
          <cell r="G23">
            <v>5977.9699999999984</v>
          </cell>
          <cell r="H23">
            <v>5977.9699999999984</v>
          </cell>
          <cell r="I23">
            <v>4106394.92</v>
          </cell>
          <cell r="J23">
            <v>221871</v>
          </cell>
          <cell r="K23">
            <v>0</v>
          </cell>
          <cell r="L23">
            <v>2652239</v>
          </cell>
          <cell r="M23">
            <v>6980504.9199999999</v>
          </cell>
          <cell r="V23">
            <v>-56599.14</v>
          </cell>
        </row>
        <row r="24">
          <cell r="A24" t="str">
            <v>CSS Other Non-FSP 8. Vocational Services (45% FSP)</v>
          </cell>
          <cell r="C24">
            <v>70156.49000000002</v>
          </cell>
          <cell r="D24">
            <v>753368.93</v>
          </cell>
          <cell r="E24">
            <v>823525.42</v>
          </cell>
          <cell r="F24">
            <v>2944.8098442239689</v>
          </cell>
          <cell r="G24">
            <v>0</v>
          </cell>
          <cell r="H24">
            <v>2944.8098442239689</v>
          </cell>
          <cell r="I24">
            <v>820580.61015577603</v>
          </cell>
          <cell r="J24">
            <v>733213</v>
          </cell>
          <cell r="K24">
            <v>0</v>
          </cell>
          <cell r="L24">
            <v>1647279</v>
          </cell>
          <cell r="M24">
            <v>3201072.6101557761</v>
          </cell>
        </row>
        <row r="25">
          <cell r="A25" t="str">
            <v>CSS Other Non-FSP 9. Emergency Stabilization Housing (60% FSP)</v>
          </cell>
          <cell r="C25">
            <v>122077.07</v>
          </cell>
          <cell r="D25">
            <v>126124</v>
          </cell>
          <cell r="E25">
            <v>248201.07</v>
          </cell>
          <cell r="F25">
            <v>0</v>
          </cell>
          <cell r="G25">
            <v>0</v>
          </cell>
          <cell r="H25">
            <v>0</v>
          </cell>
          <cell r="I25">
            <v>248201.07</v>
          </cell>
          <cell r="J25">
            <v>0</v>
          </cell>
          <cell r="K25">
            <v>0</v>
          </cell>
          <cell r="L25">
            <v>0</v>
          </cell>
          <cell r="M25">
            <v>248201.07</v>
          </cell>
        </row>
        <row r="26">
          <cell r="A26" t="str">
            <v>CSS Other Non-FSP 10. Housing Placement and Supportive Services (Direct Access to Housing) (30% FSP)</v>
          </cell>
          <cell r="C26">
            <v>86672.23</v>
          </cell>
          <cell r="D26">
            <v>40000</v>
          </cell>
          <cell r="E26">
            <v>126672.23</v>
          </cell>
          <cell r="F26">
            <v>0</v>
          </cell>
          <cell r="G26">
            <v>0</v>
          </cell>
          <cell r="H26">
            <v>0</v>
          </cell>
          <cell r="I26">
            <v>126672.23</v>
          </cell>
          <cell r="J26">
            <v>0</v>
          </cell>
          <cell r="K26">
            <v>0</v>
          </cell>
          <cell r="L26">
            <v>0</v>
          </cell>
          <cell r="M26">
            <v>126672.23</v>
          </cell>
        </row>
        <row r="27">
          <cell r="A27" t="str">
            <v>CSS Other Non-FSP 11. ROUTZ TAY Transitional Housing (60% FSP)</v>
          </cell>
          <cell r="C27">
            <v>0</v>
          </cell>
          <cell r="D27">
            <v>1002064.97</v>
          </cell>
          <cell r="E27">
            <v>1002064.97</v>
          </cell>
          <cell r="F27">
            <v>0</v>
          </cell>
          <cell r="G27">
            <v>0</v>
          </cell>
          <cell r="H27">
            <v>0</v>
          </cell>
          <cell r="I27">
            <v>1002064.97</v>
          </cell>
          <cell r="J27">
            <v>0</v>
          </cell>
          <cell r="K27">
            <v>0</v>
          </cell>
          <cell r="L27">
            <v>0</v>
          </cell>
          <cell r="M27">
            <v>1002064.97</v>
          </cell>
        </row>
        <row r="28">
          <cell r="A28" t="str">
            <v>CSS Other Non-FSP 12. Expanding Outpatient MH Clinic Capacity</v>
          </cell>
          <cell r="C28">
            <v>397442.68000000005</v>
          </cell>
          <cell r="D28">
            <v>0</v>
          </cell>
          <cell r="E28">
            <v>397442.68000000005</v>
          </cell>
          <cell r="F28">
            <v>0</v>
          </cell>
          <cell r="G28">
            <v>192027.27529999998</v>
          </cell>
          <cell r="H28">
            <v>192027.27529999998</v>
          </cell>
          <cell r="I28">
            <v>205415.40470000007</v>
          </cell>
          <cell r="J28">
            <v>0</v>
          </cell>
          <cell r="K28">
            <v>0</v>
          </cell>
          <cell r="L28">
            <v>0</v>
          </cell>
          <cell r="M28">
            <v>205415.40470000007</v>
          </cell>
        </row>
        <row r="29">
          <cell r="A29" t="str">
            <v>CSS Other Non-FSP 13. Building a Peer-to-Peer Support Network for Transgender Individuals</v>
          </cell>
          <cell r="C29">
            <v>89295.91</v>
          </cell>
          <cell r="D29">
            <v>0</v>
          </cell>
          <cell r="E29">
            <v>89295.91</v>
          </cell>
          <cell r="F29">
            <v>0</v>
          </cell>
          <cell r="G29">
            <v>0</v>
          </cell>
          <cell r="H29">
            <v>0</v>
          </cell>
          <cell r="I29">
            <v>89295.91</v>
          </cell>
          <cell r="J29">
            <v>0</v>
          </cell>
          <cell r="K29">
            <v>0</v>
          </cell>
          <cell r="L29">
            <v>0</v>
          </cell>
          <cell r="M29">
            <v>89295.91</v>
          </cell>
          <cell r="V29">
            <v>341140.505</v>
          </cell>
        </row>
        <row r="30">
          <cell r="A30" t="str">
            <v>INN 11. WAIST Nutrition Project</v>
          </cell>
          <cell r="C30">
            <v>0</v>
          </cell>
          <cell r="D30">
            <v>260454.33000000002</v>
          </cell>
          <cell r="E30">
            <v>260454.33000000002</v>
          </cell>
          <cell r="F30">
            <v>0</v>
          </cell>
          <cell r="G30">
            <v>0</v>
          </cell>
          <cell r="H30">
            <v>0</v>
          </cell>
          <cell r="I30">
            <v>260454.33000000002</v>
          </cell>
          <cell r="J30">
            <v>0</v>
          </cell>
          <cell r="K30">
            <v>0</v>
          </cell>
          <cell r="L30">
            <v>0</v>
          </cell>
          <cell r="M30">
            <v>260454.33000000002</v>
          </cell>
        </row>
        <row r="31">
          <cell r="A31" t="str">
            <v xml:space="preserve">INN 14. First Impressions </v>
          </cell>
          <cell r="C31">
            <v>0</v>
          </cell>
          <cell r="D31">
            <v>343867.13</v>
          </cell>
          <cell r="E31">
            <v>343867.13</v>
          </cell>
          <cell r="F31">
            <v>0</v>
          </cell>
          <cell r="G31">
            <v>0</v>
          </cell>
          <cell r="H31">
            <v>0</v>
          </cell>
          <cell r="I31">
            <v>343867.13</v>
          </cell>
          <cell r="J31">
            <v>0</v>
          </cell>
          <cell r="K31">
            <v>0</v>
          </cell>
          <cell r="L31">
            <v>0</v>
          </cell>
          <cell r="M31">
            <v>343867.13</v>
          </cell>
        </row>
        <row r="32">
          <cell r="A32" t="str">
            <v xml:space="preserve">INN 15. Building a Peer-to-Peer Support Network for Socially Isolated Older Adults </v>
          </cell>
          <cell r="C32">
            <v>0</v>
          </cell>
          <cell r="D32">
            <v>256250</v>
          </cell>
          <cell r="E32">
            <v>256250</v>
          </cell>
          <cell r="F32">
            <v>0</v>
          </cell>
          <cell r="G32">
            <v>0</v>
          </cell>
          <cell r="H32">
            <v>0</v>
          </cell>
          <cell r="I32">
            <v>256250</v>
          </cell>
          <cell r="J32">
            <v>0</v>
          </cell>
          <cell r="K32">
            <v>0</v>
          </cell>
          <cell r="L32">
            <v>0</v>
          </cell>
          <cell r="M32">
            <v>256250</v>
          </cell>
        </row>
        <row r="33">
          <cell r="A33" t="str">
            <v>INN 16. Building a Peer-to-Peer Support Network for Transgender Individuals</v>
          </cell>
          <cell r="C33">
            <v>74556.179999999993</v>
          </cell>
          <cell r="D33">
            <v>190443.81999999998</v>
          </cell>
          <cell r="E33">
            <v>265000</v>
          </cell>
          <cell r="F33">
            <v>0</v>
          </cell>
          <cell r="G33">
            <v>0</v>
          </cell>
          <cell r="H33">
            <v>0</v>
          </cell>
          <cell r="I33">
            <v>265000</v>
          </cell>
          <cell r="J33">
            <v>0</v>
          </cell>
          <cell r="K33">
            <v>0</v>
          </cell>
          <cell r="L33">
            <v>0</v>
          </cell>
          <cell r="M33">
            <v>265000</v>
          </cell>
          <cell r="V33">
            <v>-384729.36499999999</v>
          </cell>
        </row>
        <row r="34">
          <cell r="A34" t="str">
            <v>INN 17. Hummingbird Place - Peer Respite</v>
          </cell>
          <cell r="C34">
            <v>77481.320000000007</v>
          </cell>
          <cell r="D34">
            <v>218533.88</v>
          </cell>
          <cell r="E34">
            <v>296015.2</v>
          </cell>
          <cell r="F34">
            <v>0</v>
          </cell>
          <cell r="G34">
            <v>0</v>
          </cell>
          <cell r="H34">
            <v>0</v>
          </cell>
          <cell r="I34">
            <v>296015.2</v>
          </cell>
          <cell r="J34">
            <v>0</v>
          </cell>
          <cell r="K34">
            <v>0</v>
          </cell>
          <cell r="L34">
            <v>0</v>
          </cell>
          <cell r="M34">
            <v>296015.2</v>
          </cell>
        </row>
        <row r="35">
          <cell r="A35" t="str">
            <v>INN 9. Mini Grants</v>
          </cell>
          <cell r="C35">
            <v>0</v>
          </cell>
          <cell r="D35">
            <v>0</v>
          </cell>
          <cell r="E35">
            <v>0</v>
          </cell>
          <cell r="F35">
            <v>0</v>
          </cell>
          <cell r="G35">
            <v>0</v>
          </cell>
          <cell r="H35">
            <v>0</v>
          </cell>
          <cell r="I35">
            <v>0</v>
          </cell>
          <cell r="J35">
            <v>0</v>
          </cell>
          <cell r="K35">
            <v>0</v>
          </cell>
          <cell r="L35">
            <v>0</v>
          </cell>
          <cell r="M35">
            <v>0</v>
          </cell>
        </row>
        <row r="36">
          <cell r="A36" t="str">
            <v>INN Admin</v>
          </cell>
          <cell r="C36">
            <v>137857.28999999998</v>
          </cell>
          <cell r="D36">
            <v>68799.59</v>
          </cell>
          <cell r="E36">
            <v>206656.87999999998</v>
          </cell>
          <cell r="F36">
            <v>0</v>
          </cell>
          <cell r="G36">
            <v>0</v>
          </cell>
          <cell r="H36">
            <v>0</v>
          </cell>
          <cell r="I36">
            <v>206656.87999999998</v>
          </cell>
          <cell r="J36">
            <v>0</v>
          </cell>
          <cell r="K36">
            <v>0</v>
          </cell>
          <cell r="L36">
            <v>0</v>
          </cell>
          <cell r="M36">
            <v>206656.87999999998</v>
          </cell>
        </row>
        <row r="37">
          <cell r="A37" t="str">
            <v>INN Evaluation</v>
          </cell>
          <cell r="C37">
            <v>147659.35</v>
          </cell>
          <cell r="D37">
            <v>0</v>
          </cell>
          <cell r="E37">
            <v>147659.35</v>
          </cell>
          <cell r="F37">
            <v>0</v>
          </cell>
          <cell r="G37">
            <v>0</v>
          </cell>
          <cell r="H37">
            <v>0</v>
          </cell>
          <cell r="I37">
            <v>147659.35</v>
          </cell>
          <cell r="J37">
            <v>0</v>
          </cell>
          <cell r="K37">
            <v>0</v>
          </cell>
          <cell r="L37">
            <v>0</v>
          </cell>
          <cell r="M37">
            <v>147659.35</v>
          </cell>
        </row>
        <row r="38">
          <cell r="A38" t="str">
            <v xml:space="preserve">IT 1. Consumer Portal </v>
          </cell>
          <cell r="C38">
            <v>76078.7</v>
          </cell>
          <cell r="D38">
            <v>0</v>
          </cell>
          <cell r="E38">
            <v>76078.7</v>
          </cell>
          <cell r="F38">
            <v>0</v>
          </cell>
          <cell r="G38">
            <v>0</v>
          </cell>
          <cell r="H38">
            <v>0</v>
          </cell>
          <cell r="I38">
            <v>76078.7</v>
          </cell>
          <cell r="J38">
            <v>0</v>
          </cell>
          <cell r="K38">
            <v>0</v>
          </cell>
          <cell r="L38">
            <v>0</v>
          </cell>
          <cell r="M38">
            <v>76078.7</v>
          </cell>
        </row>
        <row r="39">
          <cell r="A39" t="str">
            <v xml:space="preserve">IT 2. Vocational IT </v>
          </cell>
          <cell r="C39">
            <v>0</v>
          </cell>
          <cell r="D39">
            <v>939697.37000000011</v>
          </cell>
          <cell r="E39">
            <v>939697.37000000011</v>
          </cell>
          <cell r="F39">
            <v>0</v>
          </cell>
          <cell r="G39">
            <v>0</v>
          </cell>
          <cell r="H39">
            <v>0</v>
          </cell>
          <cell r="I39">
            <v>939697.37000000011</v>
          </cell>
          <cell r="J39">
            <v>0</v>
          </cell>
          <cell r="K39">
            <v>0</v>
          </cell>
          <cell r="L39">
            <v>0</v>
          </cell>
          <cell r="M39">
            <v>939697.37000000011</v>
          </cell>
        </row>
        <row r="40">
          <cell r="A40" t="str">
            <v>IT 3. System Enhancements</v>
          </cell>
          <cell r="C40">
            <v>0</v>
          </cell>
          <cell r="D40">
            <v>225212.72</v>
          </cell>
          <cell r="E40">
            <v>225212.72</v>
          </cell>
          <cell r="F40">
            <v>0</v>
          </cell>
          <cell r="G40">
            <v>0</v>
          </cell>
          <cell r="H40">
            <v>0</v>
          </cell>
          <cell r="I40">
            <v>225212.72</v>
          </cell>
          <cell r="J40">
            <v>0</v>
          </cell>
          <cell r="K40">
            <v>0</v>
          </cell>
          <cell r="L40">
            <v>417</v>
          </cell>
          <cell r="M40">
            <v>225629.72</v>
          </cell>
        </row>
        <row r="41">
          <cell r="A41" t="str">
            <v xml:space="preserve">IT Admin </v>
          </cell>
          <cell r="C41">
            <v>125320.34999999998</v>
          </cell>
          <cell r="D41">
            <v>52515.62000000001</v>
          </cell>
          <cell r="E41">
            <v>177835.96999999997</v>
          </cell>
          <cell r="F41">
            <v>0</v>
          </cell>
          <cell r="G41">
            <v>0</v>
          </cell>
          <cell r="H41">
            <v>0</v>
          </cell>
          <cell r="I41">
            <v>177835.96999999997</v>
          </cell>
          <cell r="J41">
            <v>0</v>
          </cell>
          <cell r="K41">
            <v>0</v>
          </cell>
          <cell r="L41">
            <v>0</v>
          </cell>
          <cell r="M41">
            <v>177835.96999999997</v>
          </cell>
        </row>
        <row r="42">
          <cell r="A42" t="str">
            <v>PEI 1. Stigma Reduction</v>
          </cell>
          <cell r="C42">
            <v>0</v>
          </cell>
          <cell r="D42">
            <v>211705.71999999997</v>
          </cell>
          <cell r="E42">
            <v>211705.71999999997</v>
          </cell>
          <cell r="F42">
            <v>0</v>
          </cell>
          <cell r="G42">
            <v>0</v>
          </cell>
          <cell r="H42">
            <v>0</v>
          </cell>
          <cell r="I42">
            <v>211705.71999999997</v>
          </cell>
          <cell r="J42">
            <v>0</v>
          </cell>
          <cell r="K42">
            <v>0</v>
          </cell>
          <cell r="L42">
            <v>0</v>
          </cell>
          <cell r="M42">
            <v>211705.71999999997</v>
          </cell>
        </row>
        <row r="43">
          <cell r="A43" t="str">
            <v>PEI 2. School-Based Mental Health Pomotion (K-12) (50% Prevention)</v>
          </cell>
          <cell r="C43">
            <v>13952.060000000001</v>
          </cell>
          <cell r="D43">
            <v>1197993</v>
          </cell>
          <cell r="E43">
            <v>1211945.06</v>
          </cell>
          <cell r="F43">
            <v>0</v>
          </cell>
          <cell r="G43">
            <v>422.36999999999995</v>
          </cell>
          <cell r="H43">
            <v>422.36999999999995</v>
          </cell>
          <cell r="I43">
            <v>1211522.69</v>
          </cell>
          <cell r="J43">
            <v>291</v>
          </cell>
          <cell r="K43">
            <v>75112</v>
          </cell>
          <cell r="L43">
            <v>163584</v>
          </cell>
          <cell r="M43">
            <v>1450509.69</v>
          </cell>
        </row>
        <row r="44">
          <cell r="A44" t="str">
            <v>PEI 3. School-Based Mental Health Pomotion (Higher Ed) (50% Prevention)</v>
          </cell>
          <cell r="C44">
            <v>0</v>
          </cell>
          <cell r="D44">
            <v>374248.95999999996</v>
          </cell>
          <cell r="E44">
            <v>374248.95999999996</v>
          </cell>
          <cell r="F44">
            <v>0</v>
          </cell>
          <cell r="G44">
            <v>0</v>
          </cell>
          <cell r="H44">
            <v>0</v>
          </cell>
          <cell r="I44">
            <v>374248.95999999996</v>
          </cell>
          <cell r="J44">
            <v>0</v>
          </cell>
          <cell r="K44">
            <v>0</v>
          </cell>
          <cell r="L44">
            <v>0</v>
          </cell>
          <cell r="M44">
            <v>374248.95999999996</v>
          </cell>
        </row>
        <row r="45">
          <cell r="A45" t="str">
            <v>PEI 4. Population Focused Mental Health Promotion and Early Intervention (50% Prevention)</v>
          </cell>
          <cell r="C45">
            <v>0</v>
          </cell>
          <cell r="D45">
            <v>2514969.6000000001</v>
          </cell>
          <cell r="E45">
            <v>2514969.6000000001</v>
          </cell>
          <cell r="F45">
            <v>0</v>
          </cell>
          <cell r="G45">
            <v>0</v>
          </cell>
          <cell r="H45">
            <v>0</v>
          </cell>
          <cell r="I45">
            <v>2514969.6000000001</v>
          </cell>
          <cell r="J45">
            <v>38964</v>
          </cell>
          <cell r="K45">
            <v>115639</v>
          </cell>
          <cell r="L45">
            <v>716404</v>
          </cell>
          <cell r="M45">
            <v>3385976.6</v>
          </cell>
        </row>
        <row r="46">
          <cell r="A46" t="str">
            <v>PEI 5. Mental Health Consultation and Capacity Building (75% Prevention)</v>
          </cell>
          <cell r="C46">
            <v>90463.64999999998</v>
          </cell>
          <cell r="D46">
            <v>1096285.94</v>
          </cell>
          <cell r="E46">
            <v>1186749.5899999999</v>
          </cell>
          <cell r="F46">
            <v>0</v>
          </cell>
          <cell r="G46">
            <v>0</v>
          </cell>
          <cell r="H46">
            <v>0</v>
          </cell>
          <cell r="I46">
            <v>1186749.5899999999</v>
          </cell>
          <cell r="J46">
            <v>0</v>
          </cell>
          <cell r="K46">
            <v>0</v>
          </cell>
          <cell r="L46">
            <v>3327453</v>
          </cell>
          <cell r="M46">
            <v>4514202.59</v>
          </cell>
        </row>
        <row r="47">
          <cell r="A47" t="str">
            <v>PEI 6. Comprehensive Crisis Services (10% Prevention)</v>
          </cell>
          <cell r="C47">
            <v>658731.08000000007</v>
          </cell>
          <cell r="D47">
            <v>0</v>
          </cell>
          <cell r="E47">
            <v>658731.08000000007</v>
          </cell>
          <cell r="F47">
            <v>0</v>
          </cell>
          <cell r="G47">
            <v>46770.129249999998</v>
          </cell>
          <cell r="H47">
            <v>46770.129249999998</v>
          </cell>
          <cell r="I47">
            <v>611960.95075000008</v>
          </cell>
          <cell r="J47">
            <v>0</v>
          </cell>
          <cell r="K47">
            <v>0</v>
          </cell>
          <cell r="L47">
            <v>0</v>
          </cell>
          <cell r="M47">
            <v>611960.95075000008</v>
          </cell>
        </row>
        <row r="48">
          <cell r="A48" t="str">
            <v xml:space="preserve">PEI 7. CalMHSA Statewide Programs </v>
          </cell>
          <cell r="C48">
            <v>0</v>
          </cell>
          <cell r="D48">
            <v>100000</v>
          </cell>
          <cell r="E48">
            <v>100000</v>
          </cell>
          <cell r="F48">
            <v>0</v>
          </cell>
          <cell r="G48">
            <v>0</v>
          </cell>
          <cell r="H48">
            <v>0</v>
          </cell>
          <cell r="I48">
            <v>100000</v>
          </cell>
          <cell r="J48">
            <v>0</v>
          </cell>
          <cell r="K48">
            <v>0</v>
          </cell>
          <cell r="L48">
            <v>0</v>
          </cell>
          <cell r="M48">
            <v>100000</v>
          </cell>
        </row>
        <row r="49">
          <cell r="A49" t="str">
            <v xml:space="preserve">PEI Admin </v>
          </cell>
          <cell r="C49">
            <v>149604.90000000002</v>
          </cell>
          <cell r="D49">
            <v>241.37</v>
          </cell>
          <cell r="E49">
            <v>149846.27000000002</v>
          </cell>
          <cell r="F49">
            <v>0</v>
          </cell>
          <cell r="G49">
            <v>0</v>
          </cell>
          <cell r="H49">
            <v>0</v>
          </cell>
          <cell r="I49">
            <v>149846.27000000002</v>
          </cell>
          <cell r="J49">
            <v>0</v>
          </cell>
          <cell r="K49">
            <v>0</v>
          </cell>
          <cell r="L49">
            <v>0</v>
          </cell>
          <cell r="M49">
            <v>149846.27000000002</v>
          </cell>
        </row>
        <row r="50">
          <cell r="A50" t="str">
            <v xml:space="preserve">WDET 1. Training and TA </v>
          </cell>
          <cell r="C50">
            <v>220028.89</v>
          </cell>
          <cell r="D50">
            <v>363906.43000000005</v>
          </cell>
          <cell r="E50">
            <v>583935.32000000007</v>
          </cell>
          <cell r="F50">
            <v>0</v>
          </cell>
          <cell r="G50">
            <v>0</v>
          </cell>
          <cell r="H50">
            <v>0</v>
          </cell>
          <cell r="I50">
            <v>583935.32000000007</v>
          </cell>
          <cell r="J50">
            <v>92820</v>
          </cell>
          <cell r="K50">
            <v>180949</v>
          </cell>
          <cell r="L50">
            <v>913631</v>
          </cell>
          <cell r="M50">
            <v>1771335.32</v>
          </cell>
        </row>
        <row r="51">
          <cell r="A51" t="str">
            <v xml:space="preserve">WDET 2. Career Pathways </v>
          </cell>
          <cell r="C51">
            <v>0</v>
          </cell>
          <cell r="D51">
            <v>989228.9</v>
          </cell>
          <cell r="E51">
            <v>989228.9</v>
          </cell>
          <cell r="F51">
            <v>0</v>
          </cell>
          <cell r="G51">
            <v>0</v>
          </cell>
          <cell r="H51">
            <v>0</v>
          </cell>
          <cell r="I51">
            <v>989228.9</v>
          </cell>
          <cell r="J51">
            <v>0</v>
          </cell>
          <cell r="K51">
            <v>0</v>
          </cell>
          <cell r="L51">
            <v>0</v>
          </cell>
          <cell r="M51">
            <v>989228.9</v>
          </cell>
        </row>
        <row r="52">
          <cell r="A52" t="str">
            <v xml:space="preserve">WDET 3. Residency and Internships </v>
          </cell>
          <cell r="C52">
            <v>86188</v>
          </cell>
          <cell r="D52">
            <v>387743.88</v>
          </cell>
          <cell r="E52">
            <v>473931.88</v>
          </cell>
          <cell r="F52">
            <v>0</v>
          </cell>
          <cell r="G52">
            <v>0</v>
          </cell>
          <cell r="H52">
            <v>0</v>
          </cell>
          <cell r="I52">
            <v>473931.88</v>
          </cell>
          <cell r="J52">
            <v>0</v>
          </cell>
          <cell r="K52">
            <v>0</v>
          </cell>
          <cell r="L52">
            <v>0</v>
          </cell>
          <cell r="M52">
            <v>473931.88</v>
          </cell>
          <cell r="V52">
            <v>15974.54</v>
          </cell>
        </row>
        <row r="53">
          <cell r="A53" t="str">
            <v xml:space="preserve">WDET Admin </v>
          </cell>
          <cell r="C53">
            <v>70507.61</v>
          </cell>
          <cell r="D53">
            <v>707.91</v>
          </cell>
          <cell r="E53">
            <v>71215.520000000004</v>
          </cell>
          <cell r="F53">
            <v>0</v>
          </cell>
          <cell r="G53">
            <v>0</v>
          </cell>
          <cell r="H53">
            <v>0</v>
          </cell>
          <cell r="I53">
            <v>71215.520000000004</v>
          </cell>
          <cell r="J53">
            <v>0</v>
          </cell>
          <cell r="K53">
            <v>0</v>
          </cell>
          <cell r="L53">
            <v>0</v>
          </cell>
          <cell r="M53">
            <v>71215.520000000004</v>
          </cell>
        </row>
        <row r="54">
          <cell r="A54" t="str">
            <v xml:space="preserve">WDET Evaluation </v>
          </cell>
          <cell r="C54">
            <v>40916.199999999997</v>
          </cell>
          <cell r="D54">
            <v>22960</v>
          </cell>
          <cell r="E54">
            <v>63876.2</v>
          </cell>
          <cell r="F54">
            <v>0</v>
          </cell>
          <cell r="G54">
            <v>0</v>
          </cell>
          <cell r="H54">
            <v>0</v>
          </cell>
          <cell r="I54">
            <v>63876.2</v>
          </cell>
          <cell r="J54">
            <v>0</v>
          </cell>
          <cell r="K54">
            <v>0</v>
          </cell>
          <cell r="L54">
            <v>0</v>
          </cell>
          <cell r="M54">
            <v>63876.2</v>
          </cell>
        </row>
        <row r="55">
          <cell r="P55">
            <v>2569755.9081446072</v>
          </cell>
        </row>
        <row r="60">
          <cell r="I60">
            <v>20608538.567511354</v>
          </cell>
          <cell r="J60">
            <v>3667637</v>
          </cell>
          <cell r="K60">
            <v>1804080</v>
          </cell>
          <cell r="L60">
            <v>11576333</v>
          </cell>
          <cell r="Q60">
            <v>-99858</v>
          </cell>
          <cell r="T60">
            <v>-63577</v>
          </cell>
          <cell r="U60">
            <v>-151107</v>
          </cell>
          <cell r="W60">
            <v>-59824</v>
          </cell>
        </row>
        <row r="61">
          <cell r="I61">
            <v>6361003.780749999</v>
          </cell>
          <cell r="J61">
            <v>39255</v>
          </cell>
          <cell r="K61">
            <v>190751</v>
          </cell>
          <cell r="L61">
            <v>4207441</v>
          </cell>
          <cell r="W61">
            <v>-18584</v>
          </cell>
        </row>
        <row r="62">
          <cell r="I62">
            <v>1775902.89</v>
          </cell>
          <cell r="J62">
            <v>0</v>
          </cell>
          <cell r="K62">
            <v>0</v>
          </cell>
          <cell r="L62">
            <v>0</v>
          </cell>
        </row>
        <row r="63">
          <cell r="I63">
            <v>2182187.8200000003</v>
          </cell>
          <cell r="J63">
            <v>92820</v>
          </cell>
          <cell r="K63">
            <v>180949</v>
          </cell>
          <cell r="L63">
            <v>913631</v>
          </cell>
          <cell r="W63">
            <v>13583</v>
          </cell>
        </row>
        <row r="64">
          <cell r="I64">
            <v>1793264.8</v>
          </cell>
          <cell r="J64">
            <v>0</v>
          </cell>
          <cell r="K64">
            <v>0</v>
          </cell>
          <cell r="L64">
            <v>674628</v>
          </cell>
        </row>
      </sheetData>
      <sheetData sheetId="3"/>
      <sheetData sheetId="4"/>
      <sheetData sheetId="5">
        <row r="7">
          <cell r="E7">
            <v>-2</v>
          </cell>
          <cell r="F7">
            <v>0</v>
          </cell>
        </row>
        <row r="8">
          <cell r="E8">
            <v>-18975</v>
          </cell>
          <cell r="F8">
            <v>18975</v>
          </cell>
        </row>
        <row r="9">
          <cell r="E9">
            <v>1001</v>
          </cell>
          <cell r="F9">
            <v>1001</v>
          </cell>
        </row>
        <row r="10">
          <cell r="E10">
            <v>-1</v>
          </cell>
          <cell r="F10">
            <v>0</v>
          </cell>
        </row>
        <row r="11">
          <cell r="E11">
            <v>1</v>
          </cell>
          <cell r="F11">
            <v>-1</v>
          </cell>
        </row>
        <row r="12">
          <cell r="E12">
            <v>4186</v>
          </cell>
          <cell r="F12">
            <v>-4186</v>
          </cell>
        </row>
        <row r="13">
          <cell r="E13">
            <v>-7169.5600000000013</v>
          </cell>
          <cell r="F13">
            <v>8387.02</v>
          </cell>
        </row>
        <row r="14">
          <cell r="E14">
            <v>36376.980000000003</v>
          </cell>
          <cell r="F14">
            <v>-35807.019999999997</v>
          </cell>
        </row>
        <row r="15">
          <cell r="E15">
            <v>345</v>
          </cell>
          <cell r="F15">
            <v>-400.15</v>
          </cell>
        </row>
        <row r="17">
          <cell r="E17">
            <v>402166.8899999999</v>
          </cell>
          <cell r="F17">
            <v>402166.8899999999</v>
          </cell>
        </row>
        <row r="19">
          <cell r="F19">
            <v>100188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8.bin"/><Relationship Id="rId4" Type="http://schemas.openxmlformats.org/officeDocument/2006/relationships/hyperlink" Target="mailto:alyssa.zachariah@sfdph.org"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8"/>
  <sheetViews>
    <sheetView topLeftCell="A22" zoomScale="80" zoomScaleNormal="80" workbookViewId="0">
      <selection activeCell="B34" sqref="B34"/>
    </sheetView>
  </sheetViews>
  <sheetFormatPr defaultColWidth="0" defaultRowHeight="15" zeroHeight="1" x14ac:dyDescent="0.2"/>
  <cols>
    <col min="1" max="1" width="11.42578125" style="199" customWidth="1"/>
    <col min="2" max="2" width="115.5703125" style="199" customWidth="1"/>
    <col min="3" max="5" width="6.7109375" style="199" customWidth="1"/>
    <col min="6" max="6" width="7.5703125" style="199" customWidth="1"/>
    <col min="7" max="7" width="48.28515625" style="199" customWidth="1"/>
    <col min="8" max="8" width="12.5703125" style="97" customWidth="1"/>
    <col min="9" max="9" width="15" style="98" hidden="1" customWidth="1"/>
    <col min="10" max="16384" width="0" style="98" hidden="1"/>
  </cols>
  <sheetData>
    <row r="1" spans="1:9" ht="19.899999999999999" customHeight="1" x14ac:dyDescent="0.25">
      <c r="A1" s="143"/>
      <c r="B1" s="144" t="s">
        <v>172</v>
      </c>
      <c r="C1" s="145"/>
      <c r="D1" s="145"/>
      <c r="E1" s="145"/>
      <c r="F1" s="145"/>
      <c r="G1" s="146"/>
    </row>
    <row r="2" spans="1:9" ht="19.899999999999999" customHeight="1" x14ac:dyDescent="0.25">
      <c r="A2" s="147"/>
      <c r="B2" s="148" t="s">
        <v>173</v>
      </c>
      <c r="C2" s="149"/>
      <c r="D2" s="149"/>
      <c r="E2" s="149"/>
      <c r="F2" s="149"/>
      <c r="G2" s="150"/>
    </row>
    <row r="3" spans="1:9" ht="19.899999999999999" customHeight="1" thickBot="1" x14ac:dyDescent="0.25">
      <c r="A3" s="151"/>
      <c r="B3" s="152" t="s">
        <v>174</v>
      </c>
      <c r="C3" s="153"/>
      <c r="D3" s="153"/>
      <c r="E3" s="153"/>
      <c r="F3" s="153"/>
      <c r="G3" s="154"/>
    </row>
    <row r="4" spans="1:9" ht="20.100000000000001" customHeight="1" thickBot="1" x14ac:dyDescent="0.25">
      <c r="A4" s="155" t="s">
        <v>8</v>
      </c>
      <c r="B4" s="156" t="s">
        <v>228</v>
      </c>
      <c r="C4" s="157"/>
      <c r="D4" s="157"/>
      <c r="E4" s="157"/>
      <c r="F4" s="158" t="s">
        <v>9</v>
      </c>
      <c r="G4" s="159">
        <v>42914</v>
      </c>
    </row>
    <row r="5" spans="1:9" s="107" customFormat="1" ht="40.15" customHeight="1" x14ac:dyDescent="0.25">
      <c r="A5" s="160" t="s">
        <v>227</v>
      </c>
      <c r="B5" s="161"/>
      <c r="C5" s="162" t="s">
        <v>175</v>
      </c>
      <c r="D5" s="162"/>
      <c r="E5" s="163"/>
      <c r="F5" s="164"/>
      <c r="G5" s="165" t="s">
        <v>54</v>
      </c>
      <c r="H5" s="83"/>
    </row>
    <row r="6" spans="1:9" ht="15" customHeight="1" x14ac:dyDescent="0.25">
      <c r="A6" s="166" t="s">
        <v>103</v>
      </c>
      <c r="B6" s="167"/>
      <c r="C6" s="168" t="s">
        <v>158</v>
      </c>
      <c r="D6" s="169" t="s">
        <v>159</v>
      </c>
      <c r="E6" s="169" t="s">
        <v>98</v>
      </c>
      <c r="F6" s="169" t="s">
        <v>160</v>
      </c>
      <c r="G6" s="170"/>
    </row>
    <row r="7" spans="1:9" ht="15" customHeight="1" x14ac:dyDescent="0.2">
      <c r="A7" s="147">
        <v>1</v>
      </c>
      <c r="B7" s="129" t="s">
        <v>230</v>
      </c>
      <c r="C7" s="130" t="s">
        <v>229</v>
      </c>
      <c r="D7" s="130"/>
      <c r="E7" s="130"/>
      <c r="F7" s="130"/>
      <c r="G7" s="131">
        <f>VLOOKUP(B7,'[38]RER Summary'!$A$4:$M$54,13,FALSE)</f>
        <v>359527.08999999997</v>
      </c>
    </row>
    <row r="8" spans="1:9" ht="15" customHeight="1" x14ac:dyDescent="0.2">
      <c r="A8" s="147">
        <v>2</v>
      </c>
      <c r="B8" s="129" t="s">
        <v>231</v>
      </c>
      <c r="C8" s="132" t="s">
        <v>229</v>
      </c>
      <c r="D8" s="132"/>
      <c r="E8" s="132"/>
      <c r="F8" s="132"/>
      <c r="G8" s="131">
        <f>VLOOKUP(B8,'[38]RER Summary'!$A$4:$M$54,13,FALSE)</f>
        <v>4028117.812616</v>
      </c>
    </row>
    <row r="9" spans="1:9" ht="15" customHeight="1" x14ac:dyDescent="0.2">
      <c r="A9" s="147">
        <v>3</v>
      </c>
      <c r="B9" s="129" t="s">
        <v>232</v>
      </c>
      <c r="C9" s="132"/>
      <c r="D9" s="132" t="s">
        <v>229</v>
      </c>
      <c r="E9" s="132"/>
      <c r="F9" s="132"/>
      <c r="G9" s="131">
        <f>VLOOKUP(B9,'[38]RER Summary'!$A$4:$M$54,13,FALSE)</f>
        <v>939778.75196250004</v>
      </c>
    </row>
    <row r="10" spans="1:9" ht="15" customHeight="1" x14ac:dyDescent="0.2">
      <c r="A10" s="147">
        <v>4</v>
      </c>
      <c r="B10" s="129" t="s">
        <v>233</v>
      </c>
      <c r="C10" s="132"/>
      <c r="D10" s="132"/>
      <c r="E10" s="132" t="s">
        <v>229</v>
      </c>
      <c r="F10" s="132"/>
      <c r="G10" s="131">
        <f>VLOOKUP(B10,'[38]RER Summary'!$A$4:$M$54,13,FALSE)</f>
        <v>9366056.6750777494</v>
      </c>
    </row>
    <row r="11" spans="1:9" ht="15" customHeight="1" x14ac:dyDescent="0.2">
      <c r="A11" s="147">
        <v>5</v>
      </c>
      <c r="B11" s="129" t="s">
        <v>234</v>
      </c>
      <c r="C11" s="132"/>
      <c r="D11" s="132"/>
      <c r="E11" s="132"/>
      <c r="F11" s="132" t="s">
        <v>229</v>
      </c>
      <c r="G11" s="131">
        <f>VLOOKUP(B11,'[38]RER Summary'!$A$4:$M$54,13,FALSE)</f>
        <v>897203.95628808229</v>
      </c>
    </row>
    <row r="12" spans="1:9" ht="15" customHeight="1" x14ac:dyDescent="0.2">
      <c r="A12" s="147">
        <v>6</v>
      </c>
      <c r="B12" s="129" t="s">
        <v>235</v>
      </c>
      <c r="C12" s="132"/>
      <c r="D12" s="132"/>
      <c r="E12" s="132" t="s">
        <v>229</v>
      </c>
      <c r="F12" s="132"/>
      <c r="G12" s="131">
        <f>VLOOKUP(B12,'[38]RER Summary'!$A$4:$M$54,13,FALSE)</f>
        <v>1323959.8700000001</v>
      </c>
      <c r="I12" s="126"/>
    </row>
    <row r="13" spans="1:9" ht="15" customHeight="1" x14ac:dyDescent="0.2">
      <c r="A13" s="147">
        <v>7</v>
      </c>
      <c r="B13" s="129" t="s">
        <v>242</v>
      </c>
      <c r="C13" s="132" t="s">
        <v>229</v>
      </c>
      <c r="D13" s="132" t="s">
        <v>229</v>
      </c>
      <c r="E13" s="132" t="s">
        <v>229</v>
      </c>
      <c r="F13" s="132" t="s">
        <v>229</v>
      </c>
      <c r="G13" s="131">
        <f>VLOOKUP(B13,'[38]RER Summary'!$A$4:$M$54,13,FALSE)*0.5</f>
        <v>3490252.46</v>
      </c>
    </row>
    <row r="14" spans="1:9" ht="15" customHeight="1" x14ac:dyDescent="0.2">
      <c r="A14" s="147">
        <v>8</v>
      </c>
      <c r="B14" s="129" t="s">
        <v>243</v>
      </c>
      <c r="C14" s="132"/>
      <c r="D14" s="132" t="s">
        <v>229</v>
      </c>
      <c r="E14" s="132" t="s">
        <v>229</v>
      </c>
      <c r="F14" s="132"/>
      <c r="G14" s="131">
        <f>VLOOKUP(B14,'[38]RER Summary'!$A$4:$M$54,13,FALSE)*0.45</f>
        <v>1440482.6745700992</v>
      </c>
    </row>
    <row r="15" spans="1:9" ht="15" customHeight="1" x14ac:dyDescent="0.2">
      <c r="A15" s="147">
        <v>9</v>
      </c>
      <c r="B15" s="129" t="s">
        <v>244</v>
      </c>
      <c r="C15" s="132"/>
      <c r="D15" s="132"/>
      <c r="E15" s="132" t="s">
        <v>229</v>
      </c>
      <c r="F15" s="132"/>
      <c r="G15" s="131">
        <f>VLOOKUP(B15,'[38]RER Summary'!$A$4:$M$54,13,FALSE)*0.6</f>
        <v>148920.64199999999</v>
      </c>
    </row>
    <row r="16" spans="1:9" ht="15" customHeight="1" x14ac:dyDescent="0.2">
      <c r="A16" s="147">
        <v>10</v>
      </c>
      <c r="B16" s="129" t="s">
        <v>245</v>
      </c>
      <c r="C16" s="132"/>
      <c r="D16" s="132" t="s">
        <v>229</v>
      </c>
      <c r="E16" s="132" t="s">
        <v>229</v>
      </c>
      <c r="F16" s="132"/>
      <c r="G16" s="131">
        <f>VLOOKUP(B16,'[38]RER Summary'!$A$4:$M$54,13,FALSE)*0.3</f>
        <v>38001.668999999994</v>
      </c>
    </row>
    <row r="17" spans="1:9" ht="15" customHeight="1" x14ac:dyDescent="0.2">
      <c r="A17" s="147">
        <v>11</v>
      </c>
      <c r="B17" s="129" t="s">
        <v>246</v>
      </c>
      <c r="C17" s="132"/>
      <c r="D17" s="132" t="s">
        <v>229</v>
      </c>
      <c r="E17" s="132"/>
      <c r="F17" s="132"/>
      <c r="G17" s="131">
        <f>VLOOKUP(B17,'[38]RER Summary'!$A$4:$M$54,13,FALSE)*0.6</f>
        <v>601238.98199999996</v>
      </c>
      <c r="I17" s="126"/>
    </row>
    <row r="18" spans="1:9" ht="15" customHeight="1" x14ac:dyDescent="0.2">
      <c r="A18" s="147">
        <v>12</v>
      </c>
      <c r="B18" s="133"/>
      <c r="C18" s="132"/>
      <c r="D18" s="132"/>
      <c r="E18" s="132"/>
      <c r="F18" s="132"/>
      <c r="G18" s="131"/>
    </row>
    <row r="19" spans="1:9" ht="15" customHeight="1" x14ac:dyDescent="0.2">
      <c r="A19" s="147">
        <v>13</v>
      </c>
      <c r="B19" s="133"/>
      <c r="C19" s="132"/>
      <c r="D19" s="132"/>
      <c r="E19" s="132"/>
      <c r="F19" s="132"/>
      <c r="G19" s="131"/>
    </row>
    <row r="20" spans="1:9" ht="15" customHeight="1" x14ac:dyDescent="0.2">
      <c r="A20" s="147">
        <v>14</v>
      </c>
      <c r="B20" s="133"/>
      <c r="C20" s="132"/>
      <c r="D20" s="132"/>
      <c r="E20" s="132"/>
      <c r="F20" s="132"/>
      <c r="G20" s="131"/>
    </row>
    <row r="21" spans="1:9" ht="15" customHeight="1" x14ac:dyDescent="0.2">
      <c r="A21" s="147">
        <v>15</v>
      </c>
      <c r="B21" s="133"/>
      <c r="C21" s="132"/>
      <c r="D21" s="132"/>
      <c r="E21" s="132"/>
      <c r="F21" s="132"/>
      <c r="G21" s="131"/>
    </row>
    <row r="22" spans="1:9" ht="15" customHeight="1" x14ac:dyDescent="0.2">
      <c r="A22" s="147">
        <v>16</v>
      </c>
      <c r="B22" s="133"/>
      <c r="C22" s="132"/>
      <c r="D22" s="132"/>
      <c r="E22" s="132"/>
      <c r="F22" s="132"/>
      <c r="G22" s="131"/>
    </row>
    <row r="23" spans="1:9" ht="15" customHeight="1" x14ac:dyDescent="0.2">
      <c r="A23" s="147">
        <v>17</v>
      </c>
      <c r="B23" s="133"/>
      <c r="C23" s="132"/>
      <c r="D23" s="132"/>
      <c r="E23" s="132"/>
      <c r="F23" s="132"/>
      <c r="G23" s="131"/>
    </row>
    <row r="24" spans="1:9" ht="15" customHeight="1" x14ac:dyDescent="0.2">
      <c r="A24" s="147">
        <v>18</v>
      </c>
      <c r="B24" s="133"/>
      <c r="C24" s="132"/>
      <c r="D24" s="132"/>
      <c r="E24" s="132"/>
      <c r="F24" s="132"/>
      <c r="G24" s="131"/>
    </row>
    <row r="25" spans="1:9" ht="15" customHeight="1" x14ac:dyDescent="0.2">
      <c r="A25" s="147">
        <v>16</v>
      </c>
      <c r="B25" s="133"/>
      <c r="C25" s="132"/>
      <c r="D25" s="132"/>
      <c r="E25" s="132"/>
      <c r="F25" s="132"/>
      <c r="G25" s="131"/>
    </row>
    <row r="26" spans="1:9" ht="15" customHeight="1" x14ac:dyDescent="0.2">
      <c r="A26" s="147">
        <v>20</v>
      </c>
      <c r="B26" s="134"/>
      <c r="C26" s="132"/>
      <c r="D26" s="132"/>
      <c r="E26" s="132"/>
      <c r="F26" s="132"/>
      <c r="G26" s="131"/>
    </row>
    <row r="27" spans="1:9" ht="15" customHeight="1" x14ac:dyDescent="0.2">
      <c r="A27" s="147">
        <v>21</v>
      </c>
      <c r="B27" s="133"/>
      <c r="C27" s="132"/>
      <c r="D27" s="132"/>
      <c r="E27" s="132"/>
      <c r="F27" s="132"/>
      <c r="G27" s="131"/>
    </row>
    <row r="28" spans="1:9" ht="15" customHeight="1" x14ac:dyDescent="0.2">
      <c r="A28" s="147">
        <v>22</v>
      </c>
      <c r="B28" s="133"/>
      <c r="C28" s="132"/>
      <c r="D28" s="132"/>
      <c r="E28" s="132"/>
      <c r="F28" s="132"/>
      <c r="G28" s="131"/>
    </row>
    <row r="29" spans="1:9" ht="15" customHeight="1" x14ac:dyDescent="0.2">
      <c r="A29" s="147">
        <v>23</v>
      </c>
      <c r="B29" s="133"/>
      <c r="C29" s="132"/>
      <c r="D29" s="132"/>
      <c r="E29" s="132"/>
      <c r="F29" s="132"/>
      <c r="G29" s="131"/>
    </row>
    <row r="30" spans="1:9" ht="15" customHeight="1" x14ac:dyDescent="0.2">
      <c r="A30" s="147">
        <v>24</v>
      </c>
      <c r="B30" s="133"/>
      <c r="C30" s="132"/>
      <c r="D30" s="132"/>
      <c r="E30" s="132"/>
      <c r="F30" s="132"/>
      <c r="G30" s="131"/>
    </row>
    <row r="31" spans="1:9" s="108" customFormat="1" ht="15" customHeight="1" x14ac:dyDescent="0.2">
      <c r="A31" s="147">
        <v>25</v>
      </c>
      <c r="B31" s="135"/>
      <c r="C31" s="132"/>
      <c r="D31" s="132"/>
      <c r="E31" s="132"/>
      <c r="F31" s="132"/>
      <c r="G31" s="131"/>
      <c r="H31" s="128"/>
    </row>
    <row r="32" spans="1:9" s="108" customFormat="1" ht="15" customHeight="1" x14ac:dyDescent="0.2">
      <c r="A32" s="171" t="s">
        <v>177</v>
      </c>
      <c r="B32" s="172" t="s">
        <v>178</v>
      </c>
      <c r="C32" s="172"/>
      <c r="D32" s="172"/>
      <c r="E32" s="172"/>
      <c r="F32" s="173"/>
      <c r="G32" s="174">
        <f>SUM(G7:G31)</f>
        <v>22633540.583514433</v>
      </c>
      <c r="H32" s="128"/>
    </row>
    <row r="33" spans="1:8" s="108" customFormat="1" ht="15" customHeight="1" x14ac:dyDescent="0.25">
      <c r="A33" s="175" t="s">
        <v>104</v>
      </c>
      <c r="B33" s="176"/>
      <c r="C33" s="169" t="s">
        <v>158</v>
      </c>
      <c r="D33" s="169" t="s">
        <v>159</v>
      </c>
      <c r="E33" s="169" t="s">
        <v>98</v>
      </c>
      <c r="F33" s="169" t="s">
        <v>160</v>
      </c>
      <c r="G33" s="177"/>
      <c r="H33" s="128"/>
    </row>
    <row r="34" spans="1:8" s="108" customFormat="1" ht="15" customHeight="1" x14ac:dyDescent="0.2">
      <c r="A34" s="147">
        <v>1</v>
      </c>
      <c r="B34" s="136" t="s">
        <v>236</v>
      </c>
      <c r="C34" s="130" t="s">
        <v>229</v>
      </c>
      <c r="D34" s="130" t="s">
        <v>229</v>
      </c>
      <c r="E34" s="130" t="s">
        <v>229</v>
      </c>
      <c r="F34" s="130" t="s">
        <v>229</v>
      </c>
      <c r="G34" s="137">
        <f>VLOOKUP(B34,'[38]RER Summary'!$A$4:$M$54,13,FALSE)</f>
        <v>1000985.0179249999</v>
      </c>
      <c r="H34" s="128"/>
    </row>
    <row r="35" spans="1:8" s="108" customFormat="1" ht="15" customHeight="1" x14ac:dyDescent="0.2">
      <c r="A35" s="147">
        <v>2</v>
      </c>
      <c r="B35" s="129" t="s">
        <v>237</v>
      </c>
      <c r="C35" s="132"/>
      <c r="D35" s="132" t="s">
        <v>229</v>
      </c>
      <c r="E35" s="132"/>
      <c r="F35" s="132"/>
      <c r="G35" s="137">
        <f>VLOOKUP(B35,'[38]RER Summary'!$A$4:$M$54,13,FALSE)</f>
        <v>1372070.46</v>
      </c>
      <c r="H35" s="128"/>
    </row>
    <row r="36" spans="1:8" s="108" customFormat="1" ht="15" customHeight="1" x14ac:dyDescent="0.2">
      <c r="A36" s="147">
        <v>3</v>
      </c>
      <c r="B36" s="129" t="s">
        <v>238</v>
      </c>
      <c r="C36" s="132" t="s">
        <v>229</v>
      </c>
      <c r="D36" s="132"/>
      <c r="E36" s="132"/>
      <c r="F36" s="132"/>
      <c r="G36" s="137">
        <f>VLOOKUP(B36,'[38]RER Summary'!$A$4:$M$54,13,FALSE)</f>
        <v>450483.07</v>
      </c>
      <c r="H36" s="128"/>
    </row>
    <row r="37" spans="1:8" s="108" customFormat="1" ht="15" customHeight="1" x14ac:dyDescent="0.2">
      <c r="A37" s="147">
        <v>4</v>
      </c>
      <c r="B37" s="133" t="s">
        <v>239</v>
      </c>
      <c r="C37" s="132" t="s">
        <v>229</v>
      </c>
      <c r="D37" s="132" t="s">
        <v>229</v>
      </c>
      <c r="E37" s="132" t="s">
        <v>229</v>
      </c>
      <c r="F37" s="132" t="s">
        <v>229</v>
      </c>
      <c r="G37" s="137">
        <f>VLOOKUP(B37,'[38]RER Summary'!$A$4:$M$54,13,FALSE)</f>
        <v>1373670.4537862502</v>
      </c>
      <c r="H37" s="128"/>
    </row>
    <row r="38" spans="1:8" s="108" customFormat="1" ht="15" customHeight="1" x14ac:dyDescent="0.2">
      <c r="A38" s="147">
        <v>5</v>
      </c>
      <c r="B38" s="133" t="s">
        <v>240</v>
      </c>
      <c r="C38" s="132" t="s">
        <v>229</v>
      </c>
      <c r="D38" s="132" t="s">
        <v>229</v>
      </c>
      <c r="E38" s="132"/>
      <c r="F38" s="132"/>
      <c r="G38" s="137">
        <f>VLOOKUP(B38,'[38]RER Summary'!$A$4:$M$54,13,FALSE)</f>
        <v>1858600.0550000002</v>
      </c>
      <c r="H38" s="128"/>
    </row>
    <row r="39" spans="1:8" s="108" customFormat="1" ht="15" customHeight="1" x14ac:dyDescent="0.2">
      <c r="A39" s="147">
        <v>6</v>
      </c>
      <c r="B39" s="133" t="s">
        <v>241</v>
      </c>
      <c r="C39" s="132"/>
      <c r="D39" s="132"/>
      <c r="E39" s="132" t="s">
        <v>229</v>
      </c>
      <c r="F39" s="132"/>
      <c r="G39" s="137">
        <f>VLOOKUP(B39,'[38]RER Summary'!$A$4:$M$54,13,FALSE)</f>
        <v>88753.999999999985</v>
      </c>
      <c r="H39" s="128"/>
    </row>
    <row r="40" spans="1:8" s="108" customFormat="1" ht="15" customHeight="1" x14ac:dyDescent="0.2">
      <c r="A40" s="147">
        <v>7</v>
      </c>
      <c r="B40" s="129" t="s">
        <v>242</v>
      </c>
      <c r="C40" s="132" t="s">
        <v>229</v>
      </c>
      <c r="D40" s="132" t="s">
        <v>229</v>
      </c>
      <c r="E40" s="132" t="s">
        <v>229</v>
      </c>
      <c r="F40" s="132" t="s">
        <v>229</v>
      </c>
      <c r="G40" s="137">
        <f>VLOOKUP(B40,'[38]RER Summary'!$A$4:$M$54,13,FALSE)*0.5</f>
        <v>3490252.46</v>
      </c>
      <c r="H40" s="128"/>
    </row>
    <row r="41" spans="1:8" s="108" customFormat="1" ht="15" customHeight="1" x14ac:dyDescent="0.2">
      <c r="A41" s="147">
        <v>8</v>
      </c>
      <c r="B41" s="129" t="s">
        <v>243</v>
      </c>
      <c r="C41" s="132"/>
      <c r="D41" s="132" t="s">
        <v>229</v>
      </c>
      <c r="E41" s="132" t="s">
        <v>229</v>
      </c>
      <c r="F41" s="132"/>
      <c r="G41" s="137">
        <f>VLOOKUP(B41,'[38]RER Summary'!$A$4:$M$54,13,FALSE)*0.55</f>
        <v>1760589.9355856769</v>
      </c>
      <c r="H41" s="128"/>
    </row>
    <row r="42" spans="1:8" s="108" customFormat="1" ht="15" customHeight="1" x14ac:dyDescent="0.2">
      <c r="A42" s="147">
        <v>9</v>
      </c>
      <c r="B42" s="129" t="s">
        <v>244</v>
      </c>
      <c r="C42" s="132"/>
      <c r="D42" s="132"/>
      <c r="E42" s="132" t="s">
        <v>229</v>
      </c>
      <c r="F42" s="132"/>
      <c r="G42" s="137">
        <f>VLOOKUP(B42,'[38]RER Summary'!$A$4:$M$54,13,FALSE)*0.4</f>
        <v>99280.428000000014</v>
      </c>
      <c r="H42" s="128"/>
    </row>
    <row r="43" spans="1:8" s="108" customFormat="1" ht="15" customHeight="1" x14ac:dyDescent="0.2">
      <c r="A43" s="147">
        <v>10</v>
      </c>
      <c r="B43" s="129" t="s">
        <v>245</v>
      </c>
      <c r="C43" s="132"/>
      <c r="D43" s="132" t="s">
        <v>229</v>
      </c>
      <c r="E43" s="132" t="s">
        <v>229</v>
      </c>
      <c r="F43" s="132"/>
      <c r="G43" s="137">
        <f>VLOOKUP(B43,'[38]RER Summary'!$A$4:$M$54,13,FALSE)*0.7</f>
        <v>88670.560999999987</v>
      </c>
      <c r="H43" s="128"/>
    </row>
    <row r="44" spans="1:8" s="108" customFormat="1" ht="15" customHeight="1" x14ac:dyDescent="0.2">
      <c r="A44" s="147">
        <v>11</v>
      </c>
      <c r="B44" s="129" t="s">
        <v>246</v>
      </c>
      <c r="C44" s="132"/>
      <c r="D44" s="132" t="s">
        <v>229</v>
      </c>
      <c r="E44" s="132"/>
      <c r="F44" s="132"/>
      <c r="G44" s="137">
        <f>VLOOKUP(B44,'[38]RER Summary'!$A$4:$M$54,13,FALSE)*0.4</f>
        <v>400825.98800000001</v>
      </c>
      <c r="H44" s="128"/>
    </row>
    <row r="45" spans="1:8" s="108" customFormat="1" ht="15" customHeight="1" x14ac:dyDescent="0.2">
      <c r="A45" s="147">
        <v>12</v>
      </c>
      <c r="B45" s="133" t="s">
        <v>247</v>
      </c>
      <c r="C45" s="132" t="s">
        <v>229</v>
      </c>
      <c r="D45" s="132"/>
      <c r="E45" s="132" t="s">
        <v>229</v>
      </c>
      <c r="F45" s="132"/>
      <c r="G45" s="137">
        <f>VLOOKUP(B45,'[38]RER Summary'!$A$4:$M$54,13,FALSE)</f>
        <v>205415.40470000007</v>
      </c>
      <c r="H45" s="128"/>
    </row>
    <row r="46" spans="1:8" s="108" customFormat="1" ht="15" customHeight="1" x14ac:dyDescent="0.2">
      <c r="A46" s="147">
        <v>13</v>
      </c>
      <c r="B46" s="133" t="s">
        <v>248</v>
      </c>
      <c r="C46" s="132"/>
      <c r="D46" s="132"/>
      <c r="E46" s="132" t="s">
        <v>229</v>
      </c>
      <c r="F46" s="132"/>
      <c r="G46" s="137">
        <f>VLOOKUP(B46,'[38]RER Summary'!$A$4:$M$54,13,FALSE)</f>
        <v>89295.91</v>
      </c>
      <c r="H46" s="128"/>
    </row>
    <row r="47" spans="1:8" s="108" customFormat="1" ht="15" customHeight="1" x14ac:dyDescent="0.2">
      <c r="A47" s="147">
        <v>14</v>
      </c>
      <c r="B47" s="133"/>
      <c r="C47" s="132"/>
      <c r="D47" s="132"/>
      <c r="E47" s="132"/>
      <c r="F47" s="132"/>
      <c r="G47" s="137"/>
      <c r="H47" s="128"/>
    </row>
    <row r="48" spans="1:8" s="108" customFormat="1" ht="15" customHeight="1" thickBot="1" x14ac:dyDescent="0.25">
      <c r="A48" s="147">
        <v>15</v>
      </c>
      <c r="B48" s="138"/>
      <c r="C48" s="139"/>
      <c r="D48" s="139"/>
      <c r="E48" s="139"/>
      <c r="F48" s="139"/>
      <c r="G48" s="137"/>
      <c r="H48" s="128"/>
    </row>
    <row r="49" spans="1:9" s="108" customFormat="1" ht="15" customHeight="1" thickBot="1" x14ac:dyDescent="0.25">
      <c r="A49" s="178"/>
      <c r="B49" s="179" t="s">
        <v>179</v>
      </c>
      <c r="C49" s="180"/>
      <c r="D49" s="180"/>
      <c r="E49" s="180"/>
      <c r="F49" s="181"/>
      <c r="G49" s="182">
        <f>SUM(G34:G48)</f>
        <v>12278893.743996928</v>
      </c>
      <c r="H49" s="128"/>
    </row>
    <row r="50" spans="1:9" s="108" customFormat="1" ht="15" customHeight="1" x14ac:dyDescent="0.25">
      <c r="A50" s="183" t="s">
        <v>105</v>
      </c>
      <c r="B50" s="184"/>
      <c r="C50" s="185"/>
      <c r="D50" s="185"/>
      <c r="E50" s="185"/>
      <c r="F50" s="186"/>
      <c r="G50" s="187">
        <f>G32+G49</f>
        <v>34912434.327511363</v>
      </c>
      <c r="H50" s="128"/>
      <c r="I50" s="127"/>
    </row>
    <row r="51" spans="1:9" s="108" customFormat="1" ht="15" customHeight="1" x14ac:dyDescent="0.25">
      <c r="A51" s="188" t="s">
        <v>249</v>
      </c>
      <c r="B51" s="189"/>
      <c r="C51" s="190"/>
      <c r="D51" s="190"/>
      <c r="E51" s="190"/>
      <c r="F51" s="191"/>
      <c r="G51" s="140">
        <f>VLOOKUP(A51,'[38]RER Summary'!$A$4:$M$54,13,FALSE)</f>
        <v>516189.41999999993</v>
      </c>
      <c r="H51" s="128"/>
    </row>
    <row r="52" spans="1:9" s="108" customFormat="1" ht="15" customHeight="1" x14ac:dyDescent="0.25">
      <c r="A52" s="188" t="s">
        <v>17</v>
      </c>
      <c r="B52" s="189"/>
      <c r="C52" s="190"/>
      <c r="D52" s="190"/>
      <c r="E52" s="190"/>
      <c r="F52" s="191"/>
      <c r="G52" s="140">
        <f>VLOOKUP("CSS Admin ",'[38]RER Summary'!$A$4:$M$54,13,FALSE)</f>
        <v>1567427.0799999996</v>
      </c>
      <c r="H52" s="128"/>
    </row>
    <row r="53" spans="1:9" s="108" customFormat="1" ht="15" customHeight="1" thickBot="1" x14ac:dyDescent="0.3">
      <c r="A53" s="192" t="s">
        <v>37</v>
      </c>
      <c r="B53" s="193"/>
      <c r="C53" s="194"/>
      <c r="D53" s="194"/>
      <c r="E53" s="194"/>
      <c r="F53" s="195"/>
      <c r="G53" s="141">
        <f>VLOOKUP("CSS FSP Permanent Housing (capital units and master lease) ",'[38]RER Summary'!$A$4:$M$54,13,FALSE)</f>
        <v>660537.74000000011</v>
      </c>
      <c r="H53" s="128"/>
      <c r="I53" s="127"/>
    </row>
    <row r="54" spans="1:9" ht="20.100000000000001" customHeight="1" thickBot="1" x14ac:dyDescent="0.25">
      <c r="A54" s="155" t="s">
        <v>20</v>
      </c>
      <c r="B54" s="156"/>
      <c r="C54" s="196"/>
      <c r="D54" s="196"/>
      <c r="E54" s="196"/>
      <c r="F54" s="197"/>
      <c r="G54" s="198">
        <f>SUM(G50:G53)</f>
        <v>37656588.567511365</v>
      </c>
    </row>
    <row r="55" spans="1:9" x14ac:dyDescent="0.2">
      <c r="A55" s="97"/>
      <c r="B55" s="97"/>
      <c r="C55" s="97"/>
      <c r="D55" s="97"/>
      <c r="E55" s="97"/>
      <c r="F55" s="97"/>
      <c r="G55" s="97"/>
    </row>
    <row r="56" spans="1:9" s="202" customFormat="1" ht="28.5" customHeight="1" x14ac:dyDescent="0.25">
      <c r="A56" s="200" t="s">
        <v>220</v>
      </c>
      <c r="B56" s="200"/>
      <c r="C56" s="200"/>
      <c r="D56" s="200"/>
      <c r="E56" s="200"/>
      <c r="F56" s="200"/>
      <c r="G56" s="201"/>
      <c r="H56" s="199"/>
    </row>
    <row r="57" spans="1:9" ht="15.75" x14ac:dyDescent="0.25">
      <c r="A57" s="81"/>
      <c r="B57" s="142"/>
      <c r="C57" s="142"/>
      <c r="D57" s="142"/>
      <c r="E57" s="142"/>
      <c r="F57" s="142"/>
      <c r="G57" s="142"/>
    </row>
    <row r="58" spans="1:9" x14ac:dyDescent="0.2">
      <c r="A58" s="97"/>
      <c r="B58" s="97"/>
      <c r="C58" s="97"/>
      <c r="D58" s="97"/>
      <c r="E58" s="97"/>
      <c r="F58" s="97"/>
      <c r="G58" s="97"/>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59" orientation="portrait" r:id="rId4"/>
  <headerFooter alignWithMargins="0">
    <oddHeader>&amp;R&amp;"Arial,Bold"&amp;12Enclosure 3</oddHeader>
    <oddFooter>&amp;LUpdated: 11/09/2016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07"/>
  <sheetViews>
    <sheetView zoomScale="80" zoomScaleNormal="80" workbookViewId="0">
      <selection activeCell="B10" sqref="B10"/>
    </sheetView>
  </sheetViews>
  <sheetFormatPr defaultColWidth="0" defaultRowHeight="12.75" zeroHeight="1" x14ac:dyDescent="0.2"/>
  <cols>
    <col min="1" max="1" width="13" style="98" customWidth="1"/>
    <col min="2" max="2" width="97.42578125" style="98" customWidth="1"/>
    <col min="3" max="6" width="6.7109375" style="98" customWidth="1"/>
    <col min="7" max="7" width="30.85546875" style="98" customWidth="1"/>
    <col min="8" max="8" width="16.42578125" style="120" customWidth="1"/>
    <col min="9" max="9" width="8.85546875" style="98" customWidth="1"/>
    <col min="10" max="16384" width="0" style="98" hidden="1"/>
  </cols>
  <sheetData>
    <row r="1" spans="1:9" ht="19.899999999999999" customHeight="1" x14ac:dyDescent="0.2">
      <c r="A1" s="259" t="s">
        <v>176</v>
      </c>
      <c r="B1" s="221" t="s">
        <v>180</v>
      </c>
      <c r="C1" s="221"/>
      <c r="D1" s="221"/>
      <c r="E1" s="221"/>
      <c r="F1" s="221"/>
      <c r="G1" s="221"/>
      <c r="H1" s="222"/>
      <c r="I1" s="97"/>
    </row>
    <row r="2" spans="1:9" ht="19.899999999999999" customHeight="1" x14ac:dyDescent="0.2">
      <c r="A2" s="260"/>
      <c r="B2" s="223" t="s">
        <v>181</v>
      </c>
      <c r="C2" s="223"/>
      <c r="D2" s="223"/>
      <c r="E2" s="223"/>
      <c r="F2" s="223"/>
      <c r="G2" s="223"/>
      <c r="H2" s="224"/>
      <c r="I2" s="97"/>
    </row>
    <row r="3" spans="1:9" ht="19.899999999999999" customHeight="1" thickBot="1" x14ac:dyDescent="0.25">
      <c r="A3" s="260"/>
      <c r="B3" s="223" t="s">
        <v>182</v>
      </c>
      <c r="C3" s="223"/>
      <c r="D3" s="223"/>
      <c r="E3" s="223"/>
      <c r="F3" s="223"/>
      <c r="G3" s="223"/>
      <c r="H3" s="224"/>
      <c r="I3" s="97"/>
    </row>
    <row r="4" spans="1:9" ht="20.100000000000001" customHeight="1" thickBot="1" x14ac:dyDescent="0.3">
      <c r="A4" s="261" t="s">
        <v>8</v>
      </c>
      <c r="B4" s="225" t="str">
        <f>'CSS '!B4</f>
        <v>San Francisco County</v>
      </c>
      <c r="C4" s="226"/>
      <c r="D4" s="226"/>
      <c r="E4" s="226"/>
      <c r="F4" s="227" t="s">
        <v>9</v>
      </c>
      <c r="G4" s="228">
        <f>'CSS '!G4</f>
        <v>42914</v>
      </c>
      <c r="H4" s="229"/>
      <c r="I4" s="97"/>
    </row>
    <row r="5" spans="1:9" s="107" customFormat="1" ht="40.15" customHeight="1" x14ac:dyDescent="0.25">
      <c r="A5" s="259" t="s">
        <v>226</v>
      </c>
      <c r="B5" s="230"/>
      <c r="C5" s="231" t="s">
        <v>186</v>
      </c>
      <c r="D5" s="232"/>
      <c r="E5" s="232"/>
      <c r="F5" s="233"/>
      <c r="G5" s="234" t="s">
        <v>214</v>
      </c>
      <c r="H5" s="235" t="s">
        <v>141</v>
      </c>
      <c r="I5" s="83"/>
    </row>
    <row r="6" spans="1:9" ht="15" customHeight="1" x14ac:dyDescent="0.25">
      <c r="A6" s="262" t="s">
        <v>109</v>
      </c>
      <c r="B6" s="236"/>
      <c r="C6" s="237" t="s">
        <v>158</v>
      </c>
      <c r="D6" s="237" t="s">
        <v>159</v>
      </c>
      <c r="E6" s="237" t="s">
        <v>98</v>
      </c>
      <c r="F6" s="237" t="s">
        <v>160</v>
      </c>
      <c r="G6" s="236"/>
      <c r="H6" s="238"/>
      <c r="I6" s="97"/>
    </row>
    <row r="7" spans="1:9" ht="15" customHeight="1" x14ac:dyDescent="0.2">
      <c r="A7" s="147">
        <v>1</v>
      </c>
      <c r="B7" s="239" t="s">
        <v>251</v>
      </c>
      <c r="C7" s="130" t="s">
        <v>229</v>
      </c>
      <c r="D7" s="130"/>
      <c r="E7" s="130"/>
      <c r="F7" s="130"/>
      <c r="G7" s="205">
        <f>VLOOKUP(B7,'[38]RER Summary'!$A$4:$M$54,13,FALSE)*0.5</f>
        <v>725254.84499999997</v>
      </c>
      <c r="H7" s="206">
        <v>0.5</v>
      </c>
      <c r="I7" s="97"/>
    </row>
    <row r="8" spans="1:9" ht="15" customHeight="1" x14ac:dyDescent="0.2">
      <c r="A8" s="147">
        <v>2</v>
      </c>
      <c r="B8" s="239" t="s">
        <v>252</v>
      </c>
      <c r="C8" s="132" t="s">
        <v>229</v>
      </c>
      <c r="D8" s="132" t="s">
        <v>229</v>
      </c>
      <c r="E8" s="132" t="s">
        <v>229</v>
      </c>
      <c r="F8" s="132" t="s">
        <v>229</v>
      </c>
      <c r="G8" s="205">
        <f>VLOOKUP(B8,'[38]RER Summary'!$A$4:$M$54,13,FALSE)*0.5</f>
        <v>187124.47999999998</v>
      </c>
      <c r="H8" s="206">
        <v>0.5</v>
      </c>
      <c r="I8" s="97"/>
    </row>
    <row r="9" spans="1:9" ht="15" customHeight="1" x14ac:dyDescent="0.2">
      <c r="A9" s="147">
        <v>3</v>
      </c>
      <c r="B9" s="239" t="s">
        <v>253</v>
      </c>
      <c r="C9" s="132" t="s">
        <v>229</v>
      </c>
      <c r="D9" s="132"/>
      <c r="E9" s="132"/>
      <c r="F9" s="132"/>
      <c r="G9" s="205">
        <f>VLOOKUP(B9,'[38]RER Summary'!$A$4:$M$54,13,FALSE)*0.5</f>
        <v>1692988.3</v>
      </c>
      <c r="H9" s="206">
        <v>0.5</v>
      </c>
      <c r="I9" s="97"/>
    </row>
    <row r="10" spans="1:9" ht="15" customHeight="1" x14ac:dyDescent="0.2">
      <c r="A10" s="147">
        <v>4</v>
      </c>
      <c r="B10" s="239" t="s">
        <v>254</v>
      </c>
      <c r="C10" s="132" t="s">
        <v>229</v>
      </c>
      <c r="D10" s="132" t="s">
        <v>229</v>
      </c>
      <c r="E10" s="132"/>
      <c r="F10" s="132"/>
      <c r="G10" s="205">
        <f>VLOOKUP(B10,'[38]RER Summary'!$A$4:$M$54,13,FALSE)*0.75</f>
        <v>3385651.9424999999</v>
      </c>
      <c r="H10" s="206">
        <v>0.75</v>
      </c>
      <c r="I10" s="97"/>
    </row>
    <row r="11" spans="1:9" ht="15" customHeight="1" x14ac:dyDescent="0.2">
      <c r="A11" s="147">
        <v>5</v>
      </c>
      <c r="B11" s="239" t="s">
        <v>255</v>
      </c>
      <c r="C11" s="132" t="s">
        <v>229</v>
      </c>
      <c r="D11" s="132" t="s">
        <v>229</v>
      </c>
      <c r="E11" s="132" t="s">
        <v>229</v>
      </c>
      <c r="F11" s="132" t="s">
        <v>229</v>
      </c>
      <c r="G11" s="205">
        <f>VLOOKUP(B11,'[38]RER Summary'!$A$4:$M$54,13,FALSE)*0.1</f>
        <v>61196.095075000012</v>
      </c>
      <c r="H11" s="206">
        <v>0.1</v>
      </c>
      <c r="I11" s="97"/>
    </row>
    <row r="12" spans="1:9" ht="15" customHeight="1" x14ac:dyDescent="0.2">
      <c r="A12" s="147">
        <v>6</v>
      </c>
      <c r="B12" s="199"/>
      <c r="C12" s="132"/>
      <c r="D12" s="132"/>
      <c r="E12" s="132"/>
      <c r="F12" s="132"/>
      <c r="G12" s="199"/>
      <c r="H12" s="206"/>
      <c r="I12" s="97"/>
    </row>
    <row r="13" spans="1:9" ht="15" customHeight="1" x14ac:dyDescent="0.2">
      <c r="A13" s="147">
        <v>7</v>
      </c>
      <c r="B13" s="149"/>
      <c r="C13" s="132"/>
      <c r="D13" s="132"/>
      <c r="E13" s="132"/>
      <c r="F13" s="132"/>
      <c r="G13" s="205"/>
      <c r="H13" s="206"/>
      <c r="I13" s="97"/>
    </row>
    <row r="14" spans="1:9" ht="15" customHeight="1" x14ac:dyDescent="0.2">
      <c r="A14" s="147">
        <v>8</v>
      </c>
      <c r="B14" s="149"/>
      <c r="C14" s="132"/>
      <c r="D14" s="132"/>
      <c r="E14" s="132"/>
      <c r="F14" s="132"/>
      <c r="G14" s="205"/>
      <c r="H14" s="206"/>
      <c r="I14" s="97"/>
    </row>
    <row r="15" spans="1:9" ht="15" customHeight="1" x14ac:dyDescent="0.2">
      <c r="A15" s="147">
        <v>9</v>
      </c>
      <c r="B15" s="149"/>
      <c r="C15" s="132"/>
      <c r="D15" s="132"/>
      <c r="E15" s="132"/>
      <c r="F15" s="132"/>
      <c r="G15" s="205"/>
      <c r="H15" s="206"/>
      <c r="I15" s="97"/>
    </row>
    <row r="16" spans="1:9" ht="15" customHeight="1" x14ac:dyDescent="0.2">
      <c r="A16" s="147">
        <v>10</v>
      </c>
      <c r="B16" s="149"/>
      <c r="C16" s="132"/>
      <c r="D16" s="132"/>
      <c r="E16" s="132"/>
      <c r="F16" s="132"/>
      <c r="G16" s="205"/>
      <c r="H16" s="206"/>
      <c r="I16" s="97"/>
    </row>
    <row r="17" spans="1:9" ht="15" customHeight="1" x14ac:dyDescent="0.2">
      <c r="A17" s="147">
        <v>11</v>
      </c>
      <c r="B17" s="149"/>
      <c r="C17" s="132"/>
      <c r="D17" s="132"/>
      <c r="E17" s="132"/>
      <c r="F17" s="132"/>
      <c r="G17" s="205"/>
      <c r="H17" s="206"/>
      <c r="I17" s="97"/>
    </row>
    <row r="18" spans="1:9" ht="15" customHeight="1" x14ac:dyDescent="0.2">
      <c r="A18" s="147">
        <v>12</v>
      </c>
      <c r="B18" s="149"/>
      <c r="C18" s="132"/>
      <c r="D18" s="132"/>
      <c r="E18" s="132"/>
      <c r="F18" s="132"/>
      <c r="G18" s="205"/>
      <c r="H18" s="206"/>
      <c r="I18" s="97"/>
    </row>
    <row r="19" spans="1:9" ht="15" customHeight="1" x14ac:dyDescent="0.2">
      <c r="A19" s="147">
        <v>13</v>
      </c>
      <c r="B19" s="149"/>
      <c r="C19" s="132"/>
      <c r="D19" s="132"/>
      <c r="E19" s="132"/>
      <c r="F19" s="132"/>
      <c r="G19" s="205"/>
      <c r="H19" s="206"/>
      <c r="I19" s="97"/>
    </row>
    <row r="20" spans="1:9" ht="15" customHeight="1" x14ac:dyDescent="0.2">
      <c r="A20" s="147">
        <v>14</v>
      </c>
      <c r="B20" s="149"/>
      <c r="C20" s="132"/>
      <c r="D20" s="132"/>
      <c r="E20" s="132"/>
      <c r="F20" s="132"/>
      <c r="G20" s="205"/>
      <c r="H20" s="207"/>
      <c r="I20" s="97"/>
    </row>
    <row r="21" spans="1:9" ht="15" customHeight="1" x14ac:dyDescent="0.2">
      <c r="A21" s="147">
        <v>15</v>
      </c>
      <c r="B21" s="208"/>
      <c r="C21" s="132"/>
      <c r="D21" s="132"/>
      <c r="E21" s="132"/>
      <c r="F21" s="132"/>
      <c r="G21" s="205"/>
      <c r="H21" s="209"/>
      <c r="I21" s="97"/>
    </row>
    <row r="22" spans="1:9" s="108" customFormat="1" ht="15" customHeight="1" x14ac:dyDescent="0.2">
      <c r="A22" s="263"/>
      <c r="B22" s="240" t="s">
        <v>110</v>
      </c>
      <c r="C22" s="172"/>
      <c r="D22" s="172"/>
      <c r="E22" s="172"/>
      <c r="F22" s="173"/>
      <c r="G22" s="215">
        <f>SUM(G7:G21)</f>
        <v>6052215.662575</v>
      </c>
      <c r="H22" s="241"/>
      <c r="I22" s="128"/>
    </row>
    <row r="23" spans="1:9" ht="15" customHeight="1" x14ac:dyDescent="0.25">
      <c r="A23" s="262" t="s">
        <v>108</v>
      </c>
      <c r="B23" s="242"/>
      <c r="C23" s="237" t="s">
        <v>158</v>
      </c>
      <c r="D23" s="237" t="s">
        <v>159</v>
      </c>
      <c r="E23" s="237" t="s">
        <v>98</v>
      </c>
      <c r="F23" s="237" t="s">
        <v>160</v>
      </c>
      <c r="G23" s="243"/>
      <c r="H23" s="238"/>
      <c r="I23" s="97"/>
    </row>
    <row r="24" spans="1:9" ht="15" customHeight="1" x14ac:dyDescent="0.2">
      <c r="A24" s="147">
        <v>1</v>
      </c>
      <c r="B24" s="239" t="s">
        <v>251</v>
      </c>
      <c r="C24" s="130" t="s">
        <v>229</v>
      </c>
      <c r="D24" s="130"/>
      <c r="E24" s="130"/>
      <c r="F24" s="130"/>
      <c r="G24" s="211">
        <f>VLOOKUP(B24,'[38]RER Summary'!$A$4:$M$54,13,FALSE)*0.5</f>
        <v>725254.84499999997</v>
      </c>
      <c r="H24" s="212">
        <v>0.5</v>
      </c>
      <c r="I24" s="97"/>
    </row>
    <row r="25" spans="1:9" ht="15" customHeight="1" x14ac:dyDescent="0.2">
      <c r="A25" s="147">
        <v>2</v>
      </c>
      <c r="B25" s="239" t="s">
        <v>252</v>
      </c>
      <c r="C25" s="132" t="s">
        <v>229</v>
      </c>
      <c r="D25" s="132" t="s">
        <v>229</v>
      </c>
      <c r="E25" s="132" t="s">
        <v>229</v>
      </c>
      <c r="F25" s="132" t="s">
        <v>229</v>
      </c>
      <c r="G25" s="211">
        <f>VLOOKUP(B25,'[38]RER Summary'!$A$4:$M$54,13,FALSE)*0.5</f>
        <v>187124.47999999998</v>
      </c>
      <c r="H25" s="212">
        <v>0.5</v>
      </c>
      <c r="I25" s="97"/>
    </row>
    <row r="26" spans="1:9" ht="15" customHeight="1" x14ac:dyDescent="0.2">
      <c r="A26" s="147">
        <v>3</v>
      </c>
      <c r="B26" s="239" t="s">
        <v>253</v>
      </c>
      <c r="C26" s="132" t="s">
        <v>229</v>
      </c>
      <c r="D26" s="132"/>
      <c r="E26" s="132"/>
      <c r="F26" s="132"/>
      <c r="G26" s="211">
        <f>VLOOKUP(B26,'[38]RER Summary'!$A$4:$M$54,13,FALSE)*0.5</f>
        <v>1692988.3</v>
      </c>
      <c r="H26" s="212">
        <v>0.5</v>
      </c>
      <c r="I26" s="97"/>
    </row>
    <row r="27" spans="1:9" ht="15" customHeight="1" x14ac:dyDescent="0.2">
      <c r="A27" s="147">
        <v>4</v>
      </c>
      <c r="B27" s="239" t="s">
        <v>254</v>
      </c>
      <c r="C27" s="132" t="s">
        <v>229</v>
      </c>
      <c r="D27" s="132" t="s">
        <v>229</v>
      </c>
      <c r="E27" s="132"/>
      <c r="F27" s="132"/>
      <c r="G27" s="211">
        <f>VLOOKUP(B27,'[38]RER Summary'!$A$4:$M$54,13,FALSE)*0.25</f>
        <v>1128550.6475</v>
      </c>
      <c r="H27" s="212">
        <v>0.25</v>
      </c>
      <c r="I27" s="97"/>
    </row>
    <row r="28" spans="1:9" ht="15" customHeight="1" x14ac:dyDescent="0.2">
      <c r="A28" s="147">
        <v>5</v>
      </c>
      <c r="B28" s="239" t="s">
        <v>255</v>
      </c>
      <c r="C28" s="132" t="s">
        <v>229</v>
      </c>
      <c r="D28" s="132" t="s">
        <v>229</v>
      </c>
      <c r="E28" s="132" t="s">
        <v>229</v>
      </c>
      <c r="F28" s="132" t="s">
        <v>229</v>
      </c>
      <c r="G28" s="211">
        <f>VLOOKUP(B28,'[38]RER Summary'!$A$4:$M$54,13,FALSE)*0.9</f>
        <v>550764.85567500012</v>
      </c>
      <c r="H28" s="212">
        <v>0.9</v>
      </c>
      <c r="I28" s="97"/>
    </row>
    <row r="29" spans="1:9" ht="15" customHeight="1" x14ac:dyDescent="0.2">
      <c r="A29" s="147">
        <v>6</v>
      </c>
      <c r="B29" s="213"/>
      <c r="C29" s="132"/>
      <c r="D29" s="132"/>
      <c r="E29" s="132"/>
      <c r="F29" s="132"/>
      <c r="G29" s="211"/>
      <c r="H29" s="212"/>
      <c r="I29" s="97"/>
    </row>
    <row r="30" spans="1:9" ht="15" customHeight="1" x14ac:dyDescent="0.2">
      <c r="A30" s="147">
        <v>7</v>
      </c>
      <c r="B30" s="213"/>
      <c r="C30" s="132"/>
      <c r="D30" s="132"/>
      <c r="E30" s="132"/>
      <c r="F30" s="132"/>
      <c r="G30" s="211"/>
      <c r="H30" s="212"/>
      <c r="I30" s="97"/>
    </row>
    <row r="31" spans="1:9" ht="15" customHeight="1" x14ac:dyDescent="0.2">
      <c r="A31" s="147">
        <v>8</v>
      </c>
      <c r="B31" s="213"/>
      <c r="C31" s="132"/>
      <c r="D31" s="132"/>
      <c r="E31" s="132"/>
      <c r="F31" s="132"/>
      <c r="G31" s="211"/>
      <c r="H31" s="212"/>
      <c r="I31" s="97"/>
    </row>
    <row r="32" spans="1:9" ht="15" customHeight="1" x14ac:dyDescent="0.2">
      <c r="A32" s="147">
        <v>9</v>
      </c>
      <c r="B32" s="213"/>
      <c r="C32" s="132"/>
      <c r="D32" s="132"/>
      <c r="E32" s="132"/>
      <c r="F32" s="132"/>
      <c r="G32" s="211"/>
      <c r="H32" s="212"/>
      <c r="I32" s="97"/>
    </row>
    <row r="33" spans="1:9" ht="15" customHeight="1" x14ac:dyDescent="0.2">
      <c r="A33" s="147">
        <v>10</v>
      </c>
      <c r="B33" s="213"/>
      <c r="C33" s="132"/>
      <c r="D33" s="132"/>
      <c r="E33" s="132"/>
      <c r="F33" s="132"/>
      <c r="G33" s="211"/>
      <c r="H33" s="212"/>
      <c r="I33" s="97"/>
    </row>
    <row r="34" spans="1:9" ht="15" customHeight="1" x14ac:dyDescent="0.2">
      <c r="A34" s="147">
        <v>11</v>
      </c>
      <c r="B34" s="213"/>
      <c r="C34" s="132"/>
      <c r="D34" s="132"/>
      <c r="E34" s="132"/>
      <c r="F34" s="132"/>
      <c r="G34" s="211"/>
      <c r="H34" s="212"/>
      <c r="I34" s="97"/>
    </row>
    <row r="35" spans="1:9" ht="15" customHeight="1" x14ac:dyDescent="0.2">
      <c r="A35" s="147">
        <v>12</v>
      </c>
      <c r="B35" s="213"/>
      <c r="C35" s="132"/>
      <c r="D35" s="132"/>
      <c r="E35" s="132"/>
      <c r="F35" s="132"/>
      <c r="G35" s="211"/>
      <c r="H35" s="212"/>
      <c r="I35" s="97"/>
    </row>
    <row r="36" spans="1:9" ht="15" customHeight="1" x14ac:dyDescent="0.2">
      <c r="A36" s="147">
        <v>13</v>
      </c>
      <c r="B36" s="213"/>
      <c r="C36" s="132"/>
      <c r="D36" s="132"/>
      <c r="E36" s="132"/>
      <c r="F36" s="132"/>
      <c r="G36" s="211"/>
      <c r="H36" s="212"/>
      <c r="I36" s="97"/>
    </row>
    <row r="37" spans="1:9" ht="15" customHeight="1" x14ac:dyDescent="0.2">
      <c r="A37" s="147">
        <v>14</v>
      </c>
      <c r="B37" s="213"/>
      <c r="C37" s="132"/>
      <c r="D37" s="132"/>
      <c r="E37" s="132"/>
      <c r="F37" s="132"/>
      <c r="G37" s="211"/>
      <c r="H37" s="212"/>
      <c r="I37" s="97"/>
    </row>
    <row r="38" spans="1:9" ht="15" customHeight="1" x14ac:dyDescent="0.2">
      <c r="A38" s="147">
        <v>15</v>
      </c>
      <c r="B38" s="213"/>
      <c r="C38" s="132"/>
      <c r="D38" s="132"/>
      <c r="E38" s="132"/>
      <c r="F38" s="132"/>
      <c r="G38" s="214"/>
      <c r="H38" s="212"/>
      <c r="I38" s="97"/>
    </row>
    <row r="39" spans="1:9" s="108" customFormat="1" ht="15" customHeight="1" x14ac:dyDescent="0.2">
      <c r="A39" s="263"/>
      <c r="B39" s="240" t="s">
        <v>161</v>
      </c>
      <c r="C39" s="172"/>
      <c r="D39" s="172"/>
      <c r="E39" s="172"/>
      <c r="F39" s="173"/>
      <c r="G39" s="215">
        <f>SUM(G24:G38)</f>
        <v>4284683.1281749997</v>
      </c>
      <c r="H39" s="241"/>
      <c r="I39" s="128"/>
    </row>
    <row r="40" spans="1:9" ht="15" customHeight="1" x14ac:dyDescent="0.25">
      <c r="A40" s="262" t="s">
        <v>114</v>
      </c>
      <c r="B40" s="242"/>
      <c r="C40" s="244"/>
      <c r="D40" s="245"/>
      <c r="E40" s="245"/>
      <c r="F40" s="246"/>
      <c r="G40" s="243"/>
      <c r="H40" s="238"/>
      <c r="I40" s="97"/>
    </row>
    <row r="41" spans="1:9" ht="15" customHeight="1" x14ac:dyDescent="0.2">
      <c r="A41" s="147">
        <v>1</v>
      </c>
      <c r="B41" s="213" t="s">
        <v>250</v>
      </c>
      <c r="C41" s="130" t="s">
        <v>229</v>
      </c>
      <c r="D41" s="130" t="s">
        <v>229</v>
      </c>
      <c r="E41" s="130" t="s">
        <v>229</v>
      </c>
      <c r="F41" s="130" t="s">
        <v>229</v>
      </c>
      <c r="G41" s="211">
        <f>VLOOKUP(B41,'[38]RER Summary'!$A$4:$M$54,13,FALSE)</f>
        <v>211705.71999999997</v>
      </c>
      <c r="H41" s="212">
        <v>1</v>
      </c>
      <c r="I41" s="97"/>
    </row>
    <row r="42" spans="1:9" ht="15" customHeight="1" x14ac:dyDescent="0.2">
      <c r="A42" s="147">
        <v>2</v>
      </c>
      <c r="B42" s="213"/>
      <c r="C42" s="132"/>
      <c r="D42" s="132"/>
      <c r="E42" s="132"/>
      <c r="F42" s="132"/>
      <c r="G42" s="211"/>
      <c r="H42" s="212"/>
      <c r="I42" s="97"/>
    </row>
    <row r="43" spans="1:9" ht="15" customHeight="1" x14ac:dyDescent="0.2">
      <c r="A43" s="147">
        <v>3</v>
      </c>
      <c r="B43" s="213"/>
      <c r="C43" s="132"/>
      <c r="D43" s="132"/>
      <c r="E43" s="132"/>
      <c r="F43" s="132"/>
      <c r="G43" s="211"/>
      <c r="H43" s="212"/>
      <c r="I43" s="97"/>
    </row>
    <row r="44" spans="1:9" ht="15" customHeight="1" x14ac:dyDescent="0.2">
      <c r="A44" s="147">
        <v>4</v>
      </c>
      <c r="B44" s="213"/>
      <c r="C44" s="132"/>
      <c r="D44" s="132"/>
      <c r="E44" s="132"/>
      <c r="F44" s="132"/>
      <c r="G44" s="211"/>
      <c r="H44" s="212"/>
      <c r="I44" s="97"/>
    </row>
    <row r="45" spans="1:9" ht="15" customHeight="1" x14ac:dyDescent="0.2">
      <c r="A45" s="147">
        <v>5</v>
      </c>
      <c r="B45" s="213"/>
      <c r="C45" s="132"/>
      <c r="D45" s="132"/>
      <c r="E45" s="132"/>
      <c r="F45" s="132"/>
      <c r="G45" s="214"/>
      <c r="H45" s="212"/>
      <c r="I45" s="97"/>
    </row>
    <row r="46" spans="1:9" s="108" customFormat="1" ht="15" customHeight="1" x14ac:dyDescent="0.2">
      <c r="A46" s="263"/>
      <c r="B46" s="240" t="s">
        <v>111</v>
      </c>
      <c r="C46" s="172"/>
      <c r="D46" s="172"/>
      <c r="E46" s="172"/>
      <c r="F46" s="173"/>
      <c r="G46" s="215">
        <f>SUM(G41:G45)</f>
        <v>211705.71999999997</v>
      </c>
      <c r="H46" s="241">
        <f>SUM(H41:H45)</f>
        <v>1</v>
      </c>
      <c r="I46" s="128"/>
    </row>
    <row r="47" spans="1:9" ht="15" customHeight="1" x14ac:dyDescent="0.25">
      <c r="A47" s="264" t="s">
        <v>112</v>
      </c>
      <c r="B47" s="172"/>
      <c r="C47" s="190"/>
      <c r="D47" s="190"/>
      <c r="E47" s="190"/>
      <c r="F47" s="191"/>
      <c r="G47" s="247">
        <f>G22+G39+G46</f>
        <v>10548604.510750001</v>
      </c>
      <c r="H47" s="248">
        <f>H22+H39+H46</f>
        <v>1</v>
      </c>
      <c r="I47" s="97"/>
    </row>
    <row r="48" spans="1:9" s="108" customFormat="1" ht="15" customHeight="1" x14ac:dyDescent="0.25">
      <c r="A48" s="265" t="s">
        <v>51</v>
      </c>
      <c r="B48" s="249"/>
      <c r="C48" s="190"/>
      <c r="D48" s="190"/>
      <c r="E48" s="190"/>
      <c r="F48" s="191"/>
      <c r="G48" s="215">
        <v>0</v>
      </c>
      <c r="H48" s="216"/>
      <c r="I48" s="128"/>
    </row>
    <row r="49" spans="1:9" s="108" customFormat="1" ht="15" customHeight="1" x14ac:dyDescent="0.25">
      <c r="A49" s="265" t="s">
        <v>18</v>
      </c>
      <c r="B49" s="249"/>
      <c r="C49" s="250"/>
      <c r="D49" s="250"/>
      <c r="E49" s="250"/>
      <c r="F49" s="251"/>
      <c r="G49" s="211">
        <f>VLOOKUP("PEI Admin ",'[38]RER Summary'!$A$4:$M$54,13,FALSE)</f>
        <v>149846.27000000002</v>
      </c>
      <c r="H49" s="217"/>
      <c r="I49" s="128"/>
    </row>
    <row r="50" spans="1:9" s="108" customFormat="1" ht="15" customHeight="1" thickBot="1" x14ac:dyDescent="0.3">
      <c r="A50" s="266" t="s">
        <v>170</v>
      </c>
      <c r="B50" s="252"/>
      <c r="C50" s="253"/>
      <c r="D50" s="253"/>
      <c r="E50" s="253"/>
      <c r="F50" s="254"/>
      <c r="G50" s="211">
        <f>VLOOKUP("PEI 7. CalMHSA Statewide Programs ",'[38]RER Summary'!$A$4:$M$54,13,FALSE)</f>
        <v>100000</v>
      </c>
      <c r="H50" s="212"/>
      <c r="I50" s="128"/>
    </row>
    <row r="51" spans="1:9" ht="15" customHeight="1" thickBot="1" x14ac:dyDescent="0.3">
      <c r="A51" s="267" t="s">
        <v>19</v>
      </c>
      <c r="B51" s="255"/>
      <c r="C51" s="256"/>
      <c r="D51" s="256"/>
      <c r="E51" s="256"/>
      <c r="F51" s="257"/>
      <c r="G51" s="258">
        <f>SUM(G47:G50)</f>
        <v>10798450.780750001</v>
      </c>
      <c r="H51" s="229">
        <f>SUM(H47:H49)</f>
        <v>1</v>
      </c>
      <c r="I51" s="97"/>
    </row>
    <row r="52" spans="1:9" ht="15" x14ac:dyDescent="0.2">
      <c r="A52" s="97"/>
      <c r="B52" s="97"/>
      <c r="C52" s="97"/>
      <c r="D52" s="97"/>
      <c r="E52" s="97"/>
      <c r="F52" s="97"/>
      <c r="G52" s="97"/>
      <c r="H52" s="218"/>
      <c r="I52" s="97"/>
    </row>
    <row r="53" spans="1:9" s="202" customFormat="1" ht="15.75" x14ac:dyDescent="0.25">
      <c r="A53" s="200" t="s">
        <v>157</v>
      </c>
      <c r="B53" s="200"/>
      <c r="C53" s="200"/>
      <c r="D53" s="200"/>
      <c r="E53" s="200"/>
      <c r="F53" s="200"/>
      <c r="G53" s="81"/>
      <c r="H53" s="218"/>
      <c r="I53" s="97"/>
    </row>
    <row r="54" spans="1:9" s="202" customFormat="1" ht="33" customHeight="1" x14ac:dyDescent="0.25">
      <c r="A54" s="200" t="s">
        <v>221</v>
      </c>
      <c r="B54" s="200"/>
      <c r="C54" s="200"/>
      <c r="D54" s="200"/>
      <c r="E54" s="200"/>
      <c r="F54" s="200"/>
      <c r="G54" s="81"/>
      <c r="H54" s="219"/>
      <c r="I54" s="81"/>
    </row>
    <row r="55" spans="1:9" ht="15.75" x14ac:dyDescent="0.25">
      <c r="A55" s="220"/>
      <c r="B55" s="97"/>
      <c r="C55" s="97"/>
      <c r="D55" s="97"/>
      <c r="E55" s="97"/>
      <c r="F55" s="97"/>
      <c r="G55" s="97"/>
      <c r="H55" s="218"/>
      <c r="I55" s="97"/>
    </row>
    <row r="56" spans="1:9" ht="15" x14ac:dyDescent="0.2">
      <c r="A56" s="97"/>
      <c r="B56" s="97"/>
      <c r="C56" s="97"/>
      <c r="D56" s="97"/>
      <c r="E56" s="97"/>
      <c r="F56" s="97"/>
      <c r="G56" s="97"/>
      <c r="H56" s="218"/>
      <c r="I56" s="97"/>
    </row>
    <row r="57" spans="1:9" ht="15" hidden="1" x14ac:dyDescent="0.2">
      <c r="A57" s="97"/>
      <c r="B57" s="97"/>
      <c r="C57" s="97"/>
      <c r="D57" s="97"/>
      <c r="E57" s="97"/>
      <c r="F57" s="97"/>
      <c r="G57" s="97"/>
      <c r="H57" s="218"/>
      <c r="I57" s="97"/>
    </row>
    <row r="58" spans="1:9" ht="15" hidden="1" x14ac:dyDescent="0.2">
      <c r="A58" s="97"/>
      <c r="B58" s="97"/>
      <c r="C58" s="97"/>
      <c r="D58" s="97"/>
      <c r="E58" s="97"/>
      <c r="F58" s="97"/>
      <c r="G58" s="97"/>
      <c r="H58" s="218"/>
      <c r="I58" s="97"/>
    </row>
    <row r="59" spans="1:9" ht="15" hidden="1" x14ac:dyDescent="0.2">
      <c r="A59" s="97"/>
      <c r="B59" s="97"/>
      <c r="C59" s="97"/>
      <c r="D59" s="97"/>
      <c r="E59" s="97"/>
      <c r="F59" s="97"/>
      <c r="G59" s="97"/>
      <c r="H59" s="218"/>
      <c r="I59" s="97"/>
    </row>
    <row r="60" spans="1:9" ht="15" hidden="1" x14ac:dyDescent="0.2">
      <c r="A60" s="97"/>
      <c r="B60" s="97"/>
      <c r="C60" s="97"/>
      <c r="D60" s="97"/>
      <c r="E60" s="97"/>
      <c r="F60" s="97"/>
      <c r="G60" s="97"/>
      <c r="H60" s="218"/>
      <c r="I60" s="97"/>
    </row>
    <row r="61" spans="1:9" ht="15" hidden="1" x14ac:dyDescent="0.2">
      <c r="A61" s="97"/>
      <c r="B61" s="97"/>
      <c r="C61" s="97"/>
      <c r="D61" s="97"/>
      <c r="E61" s="97"/>
      <c r="F61" s="97"/>
      <c r="G61" s="97"/>
      <c r="H61" s="218"/>
      <c r="I61" s="97"/>
    </row>
    <row r="62" spans="1:9" ht="15" hidden="1" x14ac:dyDescent="0.2">
      <c r="A62" s="97"/>
      <c r="B62" s="97"/>
      <c r="C62" s="97"/>
      <c r="D62" s="97"/>
      <c r="E62" s="97"/>
      <c r="F62" s="97"/>
      <c r="G62" s="97"/>
      <c r="H62" s="218"/>
      <c r="I62" s="97"/>
    </row>
    <row r="63" spans="1:9" ht="15" hidden="1" x14ac:dyDescent="0.2">
      <c r="A63" s="97"/>
      <c r="B63" s="97"/>
      <c r="C63" s="97"/>
      <c r="D63" s="97"/>
      <c r="E63" s="97"/>
      <c r="F63" s="97"/>
      <c r="G63" s="97"/>
      <c r="H63" s="218"/>
      <c r="I63" s="97"/>
    </row>
    <row r="64" spans="1:9" ht="15" hidden="1" x14ac:dyDescent="0.2">
      <c r="A64" s="97"/>
      <c r="B64" s="97"/>
      <c r="C64" s="97"/>
      <c r="D64" s="97"/>
      <c r="E64" s="97"/>
      <c r="F64" s="97"/>
      <c r="G64" s="97"/>
      <c r="H64" s="218"/>
      <c r="I64" s="97"/>
    </row>
    <row r="65" spans="1:9" ht="15" hidden="1" x14ac:dyDescent="0.2">
      <c r="A65" s="97"/>
      <c r="B65" s="97"/>
      <c r="C65" s="97"/>
      <c r="D65" s="97"/>
      <c r="E65" s="97"/>
      <c r="F65" s="97"/>
      <c r="G65" s="97"/>
      <c r="H65" s="218"/>
      <c r="I65" s="97"/>
    </row>
    <row r="66" spans="1:9" ht="15" hidden="1" x14ac:dyDescent="0.2">
      <c r="A66" s="97"/>
      <c r="B66" s="97"/>
      <c r="C66" s="97"/>
      <c r="D66" s="97"/>
      <c r="E66" s="97"/>
      <c r="F66" s="97"/>
      <c r="G66" s="97"/>
      <c r="H66" s="218"/>
      <c r="I66" s="97"/>
    </row>
    <row r="67" spans="1:9" ht="15" hidden="1" x14ac:dyDescent="0.2">
      <c r="A67" s="97"/>
      <c r="B67" s="97"/>
      <c r="C67" s="97"/>
      <c r="D67" s="97"/>
      <c r="E67" s="97"/>
      <c r="F67" s="97"/>
      <c r="G67" s="97"/>
      <c r="H67" s="218"/>
      <c r="I67" s="97"/>
    </row>
    <row r="68" spans="1:9" ht="15" hidden="1" x14ac:dyDescent="0.2">
      <c r="A68" s="97"/>
      <c r="B68" s="97"/>
      <c r="C68" s="97"/>
      <c r="D68" s="97"/>
      <c r="E68" s="97"/>
      <c r="F68" s="97"/>
      <c r="G68" s="97"/>
      <c r="H68" s="218"/>
      <c r="I68" s="97"/>
    </row>
    <row r="69" spans="1:9" ht="15" hidden="1" x14ac:dyDescent="0.2">
      <c r="A69" s="97"/>
      <c r="B69" s="97"/>
      <c r="C69" s="97"/>
      <c r="D69" s="97"/>
      <c r="E69" s="97"/>
      <c r="F69" s="97"/>
      <c r="G69" s="97"/>
      <c r="H69" s="218"/>
      <c r="I69" s="97"/>
    </row>
    <row r="70" spans="1:9" ht="15" hidden="1" x14ac:dyDescent="0.2">
      <c r="A70" s="97"/>
      <c r="B70" s="97"/>
      <c r="C70" s="97"/>
      <c r="D70" s="97"/>
      <c r="E70" s="97"/>
      <c r="F70" s="97"/>
      <c r="G70" s="97"/>
      <c r="H70" s="218"/>
      <c r="I70" s="97"/>
    </row>
    <row r="71" spans="1:9" ht="15" hidden="1" x14ac:dyDescent="0.2">
      <c r="A71" s="97"/>
      <c r="B71" s="97"/>
      <c r="C71" s="97"/>
      <c r="D71" s="97"/>
      <c r="E71" s="97"/>
      <c r="F71" s="97"/>
      <c r="G71" s="97"/>
      <c r="H71" s="218"/>
      <c r="I71" s="97"/>
    </row>
    <row r="72" spans="1:9" ht="15" hidden="1" x14ac:dyDescent="0.2">
      <c r="A72" s="97"/>
      <c r="B72" s="97"/>
      <c r="C72" s="97"/>
      <c r="D72" s="97"/>
      <c r="E72" s="97"/>
      <c r="F72" s="97"/>
      <c r="G72" s="97"/>
      <c r="H72" s="218"/>
      <c r="I72" s="97"/>
    </row>
    <row r="73" spans="1:9" ht="15" hidden="1" x14ac:dyDescent="0.2">
      <c r="A73" s="97"/>
      <c r="B73" s="97"/>
      <c r="C73" s="97"/>
      <c r="D73" s="97"/>
      <c r="E73" s="97"/>
      <c r="F73" s="97"/>
      <c r="G73" s="97"/>
      <c r="H73" s="218"/>
      <c r="I73" s="97"/>
    </row>
    <row r="74" spans="1:9" ht="15" hidden="1" x14ac:dyDescent="0.2">
      <c r="A74" s="97"/>
      <c r="B74" s="97"/>
      <c r="C74" s="97"/>
      <c r="D74" s="97"/>
      <c r="E74" s="97"/>
      <c r="F74" s="97"/>
      <c r="G74" s="97"/>
      <c r="H74" s="218"/>
      <c r="I74" s="97"/>
    </row>
    <row r="75" spans="1:9" ht="15" hidden="1" x14ac:dyDescent="0.2">
      <c r="A75" s="97"/>
      <c r="B75" s="97"/>
      <c r="C75" s="97"/>
      <c r="D75" s="97"/>
      <c r="E75" s="97"/>
      <c r="F75" s="97"/>
      <c r="G75" s="97"/>
      <c r="H75" s="218"/>
      <c r="I75" s="97"/>
    </row>
    <row r="76" spans="1:9" ht="15" hidden="1" x14ac:dyDescent="0.2">
      <c r="A76" s="97"/>
      <c r="B76" s="97"/>
      <c r="C76" s="97"/>
      <c r="D76" s="97"/>
      <c r="E76" s="97"/>
      <c r="F76" s="97"/>
      <c r="G76" s="97"/>
      <c r="H76" s="218"/>
      <c r="I76" s="97"/>
    </row>
    <row r="77" spans="1:9" ht="15" hidden="1" x14ac:dyDescent="0.2">
      <c r="A77" s="97"/>
      <c r="B77" s="97"/>
      <c r="C77" s="97"/>
      <c r="D77" s="97"/>
      <c r="E77" s="97"/>
      <c r="F77" s="97"/>
      <c r="G77" s="97"/>
      <c r="H77" s="218"/>
      <c r="I77" s="97"/>
    </row>
    <row r="78" spans="1:9" ht="15" hidden="1" x14ac:dyDescent="0.2">
      <c r="A78" s="97"/>
      <c r="B78" s="97"/>
      <c r="C78" s="97"/>
      <c r="D78" s="97"/>
      <c r="E78" s="97"/>
      <c r="F78" s="97"/>
      <c r="G78" s="97"/>
      <c r="H78" s="218"/>
      <c r="I78" s="97"/>
    </row>
    <row r="79" spans="1:9" ht="15" hidden="1" x14ac:dyDescent="0.2">
      <c r="A79" s="97"/>
      <c r="B79" s="97"/>
      <c r="C79" s="97"/>
      <c r="D79" s="97"/>
      <c r="E79" s="97"/>
      <c r="F79" s="97"/>
      <c r="G79" s="97"/>
      <c r="H79" s="218"/>
      <c r="I79" s="97"/>
    </row>
    <row r="80" spans="1:9" ht="15" hidden="1" x14ac:dyDescent="0.2">
      <c r="A80" s="97"/>
      <c r="B80" s="97"/>
      <c r="C80" s="97"/>
      <c r="D80" s="97"/>
      <c r="E80" s="97"/>
      <c r="F80" s="97"/>
      <c r="G80" s="97"/>
      <c r="H80" s="218"/>
      <c r="I80" s="97"/>
    </row>
    <row r="81" spans="1:9" ht="15" hidden="1" x14ac:dyDescent="0.2">
      <c r="A81" s="97"/>
      <c r="B81" s="97"/>
      <c r="C81" s="97"/>
      <c r="D81" s="97"/>
      <c r="E81" s="97"/>
      <c r="F81" s="97"/>
      <c r="G81" s="97"/>
      <c r="H81" s="218"/>
      <c r="I81" s="97"/>
    </row>
    <row r="82" spans="1:9" ht="15" hidden="1" x14ac:dyDescent="0.2">
      <c r="A82" s="97"/>
      <c r="B82" s="97"/>
      <c r="C82" s="97"/>
      <c r="D82" s="97"/>
      <c r="E82" s="97"/>
      <c r="F82" s="97"/>
      <c r="G82" s="97"/>
      <c r="H82" s="218"/>
      <c r="I82" s="97"/>
    </row>
    <row r="83" spans="1:9" ht="15" hidden="1" x14ac:dyDescent="0.2">
      <c r="A83" s="97"/>
      <c r="B83" s="97"/>
      <c r="C83" s="97"/>
      <c r="D83" s="97"/>
      <c r="E83" s="97"/>
      <c r="F83" s="97"/>
      <c r="G83" s="97"/>
      <c r="H83" s="218"/>
      <c r="I83" s="97"/>
    </row>
    <row r="84" spans="1:9" ht="15" hidden="1" x14ac:dyDescent="0.2">
      <c r="A84" s="97"/>
      <c r="B84" s="97"/>
      <c r="C84" s="97"/>
      <c r="D84" s="97"/>
      <c r="E84" s="97"/>
      <c r="F84" s="97"/>
      <c r="G84" s="97"/>
      <c r="H84" s="218"/>
      <c r="I84" s="97"/>
    </row>
    <row r="85" spans="1:9" ht="15" hidden="1" x14ac:dyDescent="0.2">
      <c r="A85" s="97"/>
      <c r="B85" s="97"/>
      <c r="C85" s="97"/>
      <c r="D85" s="97"/>
      <c r="E85" s="97"/>
      <c r="F85" s="97"/>
      <c r="G85" s="97"/>
      <c r="H85" s="218"/>
      <c r="I85" s="97"/>
    </row>
    <row r="86" spans="1:9" ht="15" hidden="1" x14ac:dyDescent="0.2">
      <c r="A86" s="97"/>
      <c r="B86" s="97"/>
      <c r="C86" s="97"/>
      <c r="D86" s="97"/>
      <c r="E86" s="97"/>
      <c r="F86" s="97"/>
      <c r="G86" s="97"/>
      <c r="H86" s="218"/>
      <c r="I86" s="97"/>
    </row>
    <row r="87" spans="1:9" ht="15" hidden="1" x14ac:dyDescent="0.2">
      <c r="A87" s="97"/>
      <c r="B87" s="97"/>
      <c r="C87" s="97"/>
      <c r="D87" s="97"/>
      <c r="E87" s="97"/>
      <c r="F87" s="97"/>
      <c r="G87" s="97"/>
      <c r="H87" s="218"/>
      <c r="I87" s="97"/>
    </row>
    <row r="88" spans="1:9" ht="15" hidden="1" x14ac:dyDescent="0.2">
      <c r="A88" s="97"/>
      <c r="B88" s="97"/>
      <c r="C88" s="97"/>
      <c r="D88" s="97"/>
      <c r="E88" s="97"/>
      <c r="F88" s="97"/>
      <c r="G88" s="97"/>
      <c r="H88" s="218"/>
      <c r="I88" s="97"/>
    </row>
    <row r="89" spans="1:9" ht="15" hidden="1" x14ac:dyDescent="0.2">
      <c r="A89" s="97"/>
      <c r="B89" s="97"/>
      <c r="C89" s="97"/>
      <c r="D89" s="97"/>
      <c r="E89" s="97"/>
      <c r="F89" s="97"/>
      <c r="G89" s="97"/>
      <c r="H89" s="218"/>
      <c r="I89" s="97"/>
    </row>
    <row r="90" spans="1:9" ht="15" hidden="1" x14ac:dyDescent="0.2">
      <c r="A90" s="97"/>
      <c r="B90" s="97"/>
      <c r="C90" s="97"/>
      <c r="D90" s="97"/>
      <c r="E90" s="97"/>
      <c r="F90" s="97"/>
      <c r="G90" s="97"/>
      <c r="H90" s="218"/>
      <c r="I90" s="97"/>
    </row>
    <row r="91" spans="1:9" ht="15" hidden="1" x14ac:dyDescent="0.2">
      <c r="A91" s="97"/>
      <c r="B91" s="97"/>
      <c r="C91" s="97"/>
      <c r="D91" s="97"/>
      <c r="E91" s="97"/>
      <c r="F91" s="97"/>
      <c r="G91" s="97"/>
      <c r="H91" s="218"/>
      <c r="I91" s="97"/>
    </row>
    <row r="92" spans="1:9" ht="15" hidden="1" x14ac:dyDescent="0.2">
      <c r="A92" s="97"/>
      <c r="B92" s="97"/>
      <c r="C92" s="97"/>
      <c r="D92" s="97"/>
      <c r="E92" s="97"/>
      <c r="F92" s="97"/>
      <c r="G92" s="97"/>
      <c r="H92" s="218"/>
      <c r="I92" s="97"/>
    </row>
    <row r="93" spans="1:9" ht="15" hidden="1" x14ac:dyDescent="0.2">
      <c r="A93" s="97"/>
      <c r="B93" s="97"/>
      <c r="C93" s="97"/>
      <c r="D93" s="97"/>
      <c r="E93" s="97"/>
      <c r="F93" s="97"/>
      <c r="G93" s="97"/>
      <c r="H93" s="218"/>
      <c r="I93" s="97"/>
    </row>
    <row r="94" spans="1:9" ht="15" hidden="1" x14ac:dyDescent="0.2">
      <c r="A94" s="97"/>
      <c r="B94" s="97"/>
      <c r="C94" s="97"/>
      <c r="D94" s="97"/>
      <c r="E94" s="97"/>
      <c r="F94" s="97"/>
      <c r="G94" s="97"/>
      <c r="H94" s="218"/>
      <c r="I94" s="97"/>
    </row>
    <row r="95" spans="1:9" ht="15" hidden="1" x14ac:dyDescent="0.2">
      <c r="A95" s="97"/>
      <c r="B95" s="97"/>
      <c r="C95" s="97"/>
      <c r="D95" s="97"/>
      <c r="E95" s="97"/>
      <c r="F95" s="97"/>
      <c r="G95" s="97"/>
      <c r="H95" s="218"/>
      <c r="I95" s="97"/>
    </row>
    <row r="96" spans="1:9" ht="15" hidden="1" x14ac:dyDescent="0.2">
      <c r="A96" s="97"/>
      <c r="B96" s="97"/>
      <c r="C96" s="97"/>
      <c r="D96" s="97"/>
      <c r="E96" s="97"/>
      <c r="F96" s="97"/>
      <c r="G96" s="97"/>
      <c r="H96" s="218"/>
      <c r="I96" s="97"/>
    </row>
    <row r="97" spans="1:9" ht="15" hidden="1" x14ac:dyDescent="0.2">
      <c r="A97" s="97"/>
      <c r="B97" s="97"/>
      <c r="C97" s="97"/>
      <c r="D97" s="97"/>
      <c r="E97" s="97"/>
      <c r="F97" s="97"/>
      <c r="G97" s="97"/>
      <c r="H97" s="218"/>
      <c r="I97" s="97"/>
    </row>
    <row r="98" spans="1:9" ht="15" hidden="1" x14ac:dyDescent="0.2">
      <c r="A98" s="97"/>
      <c r="B98" s="97"/>
      <c r="C98" s="97"/>
      <c r="D98" s="97"/>
      <c r="E98" s="97"/>
      <c r="F98" s="97"/>
      <c r="G98" s="97"/>
      <c r="H98" s="218"/>
      <c r="I98" s="97"/>
    </row>
    <row r="99" spans="1:9" ht="15" hidden="1" x14ac:dyDescent="0.2">
      <c r="A99" s="97"/>
      <c r="B99" s="97"/>
      <c r="C99" s="97"/>
      <c r="D99" s="97"/>
      <c r="E99" s="97"/>
      <c r="F99" s="97"/>
      <c r="G99" s="97"/>
      <c r="H99" s="218"/>
      <c r="I99" s="97"/>
    </row>
    <row r="100" spans="1:9" ht="15" hidden="1" x14ac:dyDescent="0.2">
      <c r="A100" s="97"/>
      <c r="B100" s="97"/>
      <c r="C100" s="97"/>
      <c r="D100" s="97"/>
      <c r="E100" s="97"/>
      <c r="F100" s="97"/>
      <c r="G100" s="97"/>
      <c r="H100" s="218"/>
      <c r="I100" s="97"/>
    </row>
    <row r="101" spans="1:9" ht="15" hidden="1" x14ac:dyDescent="0.2">
      <c r="A101" s="97"/>
      <c r="B101" s="97"/>
      <c r="C101" s="97"/>
      <c r="D101" s="97"/>
      <c r="E101" s="97"/>
      <c r="F101" s="97"/>
      <c r="G101" s="97"/>
      <c r="H101" s="218"/>
      <c r="I101" s="97"/>
    </row>
    <row r="102" spans="1:9" ht="15" hidden="1" x14ac:dyDescent="0.2">
      <c r="A102" s="97"/>
      <c r="B102" s="97"/>
      <c r="C102" s="97"/>
      <c r="D102" s="97"/>
      <c r="E102" s="97"/>
      <c r="F102" s="97"/>
      <c r="G102" s="97"/>
      <c r="H102" s="218"/>
      <c r="I102" s="97"/>
    </row>
    <row r="103" spans="1:9" ht="15" hidden="1" x14ac:dyDescent="0.2">
      <c r="A103" s="97"/>
      <c r="B103" s="97"/>
      <c r="C103" s="97"/>
      <c r="D103" s="97"/>
      <c r="E103" s="97"/>
      <c r="F103" s="97"/>
      <c r="G103" s="97"/>
      <c r="H103" s="218"/>
      <c r="I103" s="97"/>
    </row>
    <row r="104" spans="1:9" ht="15" hidden="1" x14ac:dyDescent="0.2">
      <c r="A104" s="97"/>
      <c r="B104" s="97"/>
      <c r="C104" s="97"/>
      <c r="D104" s="97"/>
      <c r="E104" s="97"/>
      <c r="F104" s="97"/>
      <c r="G104" s="97"/>
      <c r="H104" s="218"/>
      <c r="I104" s="97"/>
    </row>
    <row r="105" spans="1:9" ht="15" hidden="1" x14ac:dyDescent="0.2">
      <c r="A105" s="97"/>
      <c r="B105" s="97"/>
      <c r="C105" s="97"/>
      <c r="D105" s="97"/>
      <c r="E105" s="97"/>
      <c r="F105" s="97"/>
      <c r="G105" s="97"/>
      <c r="H105" s="218"/>
      <c r="I105" s="97"/>
    </row>
    <row r="106" spans="1:9" ht="15" hidden="1" x14ac:dyDescent="0.2">
      <c r="A106" s="97"/>
      <c r="B106" s="97"/>
      <c r="C106" s="97"/>
      <c r="D106" s="97"/>
      <c r="E106" s="97"/>
      <c r="F106" s="97"/>
      <c r="G106" s="97"/>
      <c r="H106" s="218"/>
      <c r="I106" s="97"/>
    </row>
    <row r="107" spans="1:9" ht="15" hidden="1" x14ac:dyDescent="0.2">
      <c r="A107" s="97"/>
      <c r="B107" s="97"/>
      <c r="C107" s="97"/>
      <c r="D107" s="97"/>
      <c r="E107" s="97"/>
      <c r="F107" s="97"/>
      <c r="G107" s="97"/>
      <c r="H107" s="218"/>
      <c r="I107" s="97"/>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61" orientation="portrait" r:id="rId4"/>
  <headerFooter alignWithMargins="0">
    <oddHeader xml:space="preserve">&amp;R&amp;"Arial,Bold"&amp;12Enclosure 3 </oddHeader>
    <oddFooter>&amp;LUpdated: 11/09/2016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workbookViewId="0">
      <selection sqref="A1:H1"/>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6" t="s">
        <v>143</v>
      </c>
      <c r="B1" s="646"/>
      <c r="C1" s="646"/>
      <c r="D1" s="646"/>
      <c r="E1" s="646"/>
      <c r="F1" s="646"/>
      <c r="G1" s="646"/>
      <c r="H1" s="646"/>
    </row>
    <row r="2" spans="1:8" ht="20.100000000000001" customHeight="1" x14ac:dyDescent="0.2">
      <c r="A2" s="586" t="s">
        <v>8</v>
      </c>
      <c r="B2" s="586"/>
      <c r="C2" s="586"/>
      <c r="D2" s="587" t="str">
        <f>'CSS '!B4:B4</f>
        <v>San Francisco County</v>
      </c>
      <c r="E2" s="587"/>
      <c r="F2" s="12" t="s">
        <v>9</v>
      </c>
      <c r="G2" s="7">
        <f>'CSS '!E4</f>
        <v>0</v>
      </c>
    </row>
    <row r="3" spans="1:8" ht="15" customHeight="1" x14ac:dyDescent="0.2">
      <c r="A3" s="5"/>
      <c r="B3" s="13"/>
      <c r="C3" s="13"/>
      <c r="D3" s="588"/>
      <c r="E3" s="588"/>
      <c r="F3" s="8"/>
      <c r="G3" s="6"/>
    </row>
    <row r="4" spans="1:8" ht="15" customHeight="1" thickBot="1" x14ac:dyDescent="0.25">
      <c r="A4" s="3"/>
      <c r="B4" s="6"/>
      <c r="C4" s="6"/>
      <c r="D4" s="6"/>
      <c r="E4" s="6"/>
      <c r="F4" s="6"/>
      <c r="G4" s="6"/>
    </row>
    <row r="5" spans="1:8" s="2" customFormat="1" ht="15" customHeight="1" x14ac:dyDescent="0.2">
      <c r="A5" s="589" t="s">
        <v>50</v>
      </c>
      <c r="B5" s="590"/>
      <c r="C5" s="590"/>
      <c r="D5" s="590"/>
      <c r="E5" s="591"/>
      <c r="F5" s="595" t="s">
        <v>0</v>
      </c>
      <c r="G5" s="596"/>
      <c r="H5" s="644" t="s">
        <v>140</v>
      </c>
    </row>
    <row r="6" spans="1:8" s="1" customFormat="1" ht="34.5" customHeight="1" thickBot="1" x14ac:dyDescent="0.25">
      <c r="A6" s="592"/>
      <c r="B6" s="593"/>
      <c r="C6" s="593"/>
      <c r="D6" s="593"/>
      <c r="E6" s="594"/>
      <c r="F6" s="597" t="s">
        <v>54</v>
      </c>
      <c r="G6" s="598"/>
      <c r="H6" s="645"/>
    </row>
    <row r="7" spans="1:8" ht="15" customHeight="1" x14ac:dyDescent="0.2">
      <c r="A7" s="599" t="s">
        <v>133</v>
      </c>
      <c r="B7" s="600"/>
      <c r="C7" s="600"/>
      <c r="D7" s="600"/>
      <c r="E7" s="601"/>
      <c r="F7" s="602"/>
      <c r="G7" s="603"/>
      <c r="H7" s="15"/>
    </row>
    <row r="8" spans="1:8" ht="15" customHeight="1" x14ac:dyDescent="0.2">
      <c r="A8" s="9">
        <v>1</v>
      </c>
      <c r="B8" s="604"/>
      <c r="C8" s="605"/>
      <c r="D8" s="605"/>
      <c r="E8" s="606"/>
      <c r="F8" s="607"/>
      <c r="G8" s="608"/>
      <c r="H8" s="15"/>
    </row>
    <row r="9" spans="1:8" ht="15" customHeight="1" x14ac:dyDescent="0.2">
      <c r="A9" s="9">
        <v>2</v>
      </c>
      <c r="B9" s="604"/>
      <c r="C9" s="605"/>
      <c r="D9" s="605"/>
      <c r="E9" s="606"/>
      <c r="F9" s="607"/>
      <c r="G9" s="608"/>
      <c r="H9" s="15"/>
    </row>
    <row r="10" spans="1:8" ht="15" customHeight="1" x14ac:dyDescent="0.2">
      <c r="A10" s="9">
        <v>3</v>
      </c>
      <c r="B10" s="604"/>
      <c r="C10" s="605"/>
      <c r="D10" s="605"/>
      <c r="E10" s="606"/>
      <c r="F10" s="607"/>
      <c r="G10" s="608"/>
      <c r="H10" s="15"/>
    </row>
    <row r="11" spans="1:8" ht="15" customHeight="1" x14ac:dyDescent="0.2">
      <c r="A11" s="9">
        <v>4</v>
      </c>
      <c r="B11" s="604"/>
      <c r="C11" s="605"/>
      <c r="D11" s="605"/>
      <c r="E11" s="606"/>
      <c r="F11" s="607"/>
      <c r="G11" s="608"/>
      <c r="H11" s="15"/>
    </row>
    <row r="12" spans="1:8" ht="15" customHeight="1" x14ac:dyDescent="0.2">
      <c r="A12" s="9">
        <v>5</v>
      </c>
      <c r="B12" s="604"/>
      <c r="C12" s="605"/>
      <c r="D12" s="605"/>
      <c r="E12" s="606"/>
      <c r="F12" s="607"/>
      <c r="G12" s="608"/>
      <c r="H12" s="15"/>
    </row>
    <row r="13" spans="1:8" ht="15" customHeight="1" x14ac:dyDescent="0.2">
      <c r="A13" s="9">
        <v>6</v>
      </c>
      <c r="B13" s="604"/>
      <c r="C13" s="605"/>
      <c r="D13" s="605"/>
      <c r="E13" s="606"/>
      <c r="F13" s="607"/>
      <c r="G13" s="608"/>
      <c r="H13" s="15"/>
    </row>
    <row r="14" spans="1:8" ht="15" customHeight="1" x14ac:dyDescent="0.2">
      <c r="A14" s="9">
        <v>7</v>
      </c>
      <c r="B14" s="604"/>
      <c r="C14" s="605"/>
      <c r="D14" s="605"/>
      <c r="E14" s="606"/>
      <c r="F14" s="607"/>
      <c r="G14" s="608"/>
      <c r="H14" s="15"/>
    </row>
    <row r="15" spans="1:8" ht="15" customHeight="1" x14ac:dyDescent="0.2">
      <c r="A15" s="9">
        <v>8</v>
      </c>
      <c r="B15" s="609"/>
      <c r="C15" s="610"/>
      <c r="D15" s="610"/>
      <c r="E15" s="611"/>
      <c r="F15" s="607"/>
      <c r="G15" s="608"/>
      <c r="H15" s="15"/>
    </row>
    <row r="16" spans="1:8" ht="15" customHeight="1" x14ac:dyDescent="0.2">
      <c r="A16" s="9">
        <v>9</v>
      </c>
      <c r="B16" s="609"/>
      <c r="C16" s="610"/>
      <c r="D16" s="610"/>
      <c r="E16" s="611"/>
      <c r="F16" s="607"/>
      <c r="G16" s="608"/>
      <c r="H16" s="15"/>
    </row>
    <row r="17" spans="1:8" ht="15" customHeight="1" x14ac:dyDescent="0.2">
      <c r="A17" s="9">
        <v>10</v>
      </c>
      <c r="B17" s="609"/>
      <c r="C17" s="609"/>
      <c r="D17" s="609"/>
      <c r="E17" s="621"/>
      <c r="F17" s="622"/>
      <c r="G17" s="623"/>
      <c r="H17" s="15"/>
    </row>
    <row r="18" spans="1:8" s="4" customFormat="1" ht="15" customHeight="1" x14ac:dyDescent="0.2">
      <c r="A18" s="10"/>
      <c r="B18" s="612" t="s">
        <v>110</v>
      </c>
      <c r="C18" s="612"/>
      <c r="D18" s="612"/>
      <c r="E18" s="613"/>
      <c r="F18" s="614">
        <f>SUM(F8:G17)</f>
        <v>0</v>
      </c>
      <c r="G18" s="615"/>
      <c r="H18" s="17"/>
    </row>
    <row r="19" spans="1:8" ht="15" customHeight="1" x14ac:dyDescent="0.2">
      <c r="A19" s="616" t="s">
        <v>134</v>
      </c>
      <c r="B19" s="617"/>
      <c r="C19" s="617"/>
      <c r="D19" s="617"/>
      <c r="E19" s="618"/>
      <c r="F19" s="619"/>
      <c r="G19" s="620"/>
      <c r="H19" s="15"/>
    </row>
    <row r="20" spans="1:8" ht="15" customHeight="1" x14ac:dyDescent="0.2">
      <c r="A20" s="9">
        <v>1</v>
      </c>
      <c r="B20" s="604"/>
      <c r="C20" s="604"/>
      <c r="D20" s="604"/>
      <c r="E20" s="624"/>
      <c r="F20" s="607"/>
      <c r="G20" s="608"/>
      <c r="H20" s="15"/>
    </row>
    <row r="21" spans="1:8" ht="15" customHeight="1" x14ac:dyDescent="0.2">
      <c r="A21" s="9">
        <v>2</v>
      </c>
      <c r="B21" s="604"/>
      <c r="C21" s="604"/>
      <c r="D21" s="604"/>
      <c r="E21" s="624"/>
      <c r="F21" s="607"/>
      <c r="G21" s="608"/>
      <c r="H21" s="15"/>
    </row>
    <row r="22" spans="1:8" ht="15" customHeight="1" x14ac:dyDescent="0.2">
      <c r="A22" s="9">
        <v>3</v>
      </c>
      <c r="B22" s="604"/>
      <c r="C22" s="604"/>
      <c r="D22" s="604"/>
      <c r="E22" s="624"/>
      <c r="F22" s="607"/>
      <c r="G22" s="608"/>
      <c r="H22" s="15"/>
    </row>
    <row r="23" spans="1:8" ht="15" customHeight="1" x14ac:dyDescent="0.2">
      <c r="A23" s="9">
        <v>4</v>
      </c>
      <c r="B23" s="604"/>
      <c r="C23" s="604"/>
      <c r="D23" s="604"/>
      <c r="E23" s="624"/>
      <c r="F23" s="607"/>
      <c r="G23" s="608"/>
      <c r="H23" s="15"/>
    </row>
    <row r="24" spans="1:8" ht="15" customHeight="1" x14ac:dyDescent="0.2">
      <c r="A24" s="9">
        <v>5</v>
      </c>
      <c r="B24" s="609"/>
      <c r="C24" s="609"/>
      <c r="D24" s="609"/>
      <c r="E24" s="621"/>
      <c r="F24" s="607"/>
      <c r="G24" s="608"/>
      <c r="H24" s="15"/>
    </row>
    <row r="25" spans="1:8" ht="15" customHeight="1" x14ac:dyDescent="0.2">
      <c r="A25" s="9">
        <v>6</v>
      </c>
      <c r="B25" s="609"/>
      <c r="C25" s="609"/>
      <c r="D25" s="609"/>
      <c r="E25" s="621"/>
      <c r="F25" s="607"/>
      <c r="G25" s="608"/>
      <c r="H25" s="15"/>
    </row>
    <row r="26" spans="1:8" ht="15" customHeight="1" x14ac:dyDescent="0.2">
      <c r="A26" s="9">
        <v>7</v>
      </c>
      <c r="B26" s="609"/>
      <c r="C26" s="609"/>
      <c r="D26" s="609"/>
      <c r="E26" s="621"/>
      <c r="F26" s="607"/>
      <c r="G26" s="608"/>
      <c r="H26" s="15"/>
    </row>
    <row r="27" spans="1:8" ht="15" customHeight="1" x14ac:dyDescent="0.2">
      <c r="A27" s="9">
        <v>8</v>
      </c>
      <c r="B27" s="609"/>
      <c r="C27" s="609"/>
      <c r="D27" s="609"/>
      <c r="E27" s="621"/>
      <c r="F27" s="607"/>
      <c r="G27" s="608"/>
      <c r="H27" s="15"/>
    </row>
    <row r="28" spans="1:8" ht="15" customHeight="1" x14ac:dyDescent="0.2">
      <c r="A28" s="9">
        <v>9</v>
      </c>
      <c r="B28" s="609"/>
      <c r="C28" s="609"/>
      <c r="D28" s="609"/>
      <c r="E28" s="621"/>
      <c r="F28" s="607"/>
      <c r="G28" s="608"/>
      <c r="H28" s="15"/>
    </row>
    <row r="29" spans="1:8" ht="15" customHeight="1" x14ac:dyDescent="0.2">
      <c r="A29" s="9">
        <v>10</v>
      </c>
      <c r="B29" s="609"/>
      <c r="C29" s="609"/>
      <c r="D29" s="609"/>
      <c r="E29" s="621"/>
      <c r="F29" s="607"/>
      <c r="G29" s="608"/>
      <c r="H29" s="15"/>
    </row>
    <row r="30" spans="1:8" s="4" customFormat="1" ht="15" customHeight="1" x14ac:dyDescent="0.2">
      <c r="A30" s="10"/>
      <c r="B30" s="612" t="s">
        <v>119</v>
      </c>
      <c r="C30" s="612"/>
      <c r="D30" s="612"/>
      <c r="E30" s="613"/>
      <c r="F30" s="630">
        <f>SUM(F20:G29)</f>
        <v>0</v>
      </c>
      <c r="G30" s="631"/>
      <c r="H30" s="17"/>
    </row>
    <row r="31" spans="1:8" ht="17.100000000000001" customHeight="1" x14ac:dyDescent="0.2">
      <c r="A31" s="599" t="s">
        <v>136</v>
      </c>
      <c r="B31" s="642"/>
      <c r="C31" s="642"/>
      <c r="D31" s="642"/>
      <c r="E31" s="643"/>
      <c r="F31" s="628"/>
      <c r="G31" s="629"/>
      <c r="H31" s="15"/>
    </row>
    <row r="32" spans="1:8" ht="15" customHeight="1" x14ac:dyDescent="0.2">
      <c r="A32" s="14">
        <v>1</v>
      </c>
      <c r="B32" s="586"/>
      <c r="C32" s="586"/>
      <c r="D32" s="586"/>
      <c r="E32" s="625"/>
      <c r="F32" s="626"/>
      <c r="G32" s="627"/>
      <c r="H32" s="15"/>
    </row>
    <row r="33" spans="1:8" ht="15" customHeight="1" x14ac:dyDescent="0.2">
      <c r="A33" s="599" t="s">
        <v>137</v>
      </c>
      <c r="B33" s="642"/>
      <c r="C33" s="642"/>
      <c r="D33" s="642"/>
      <c r="E33" s="643"/>
      <c r="F33" s="628"/>
      <c r="G33" s="629"/>
      <c r="H33" s="18"/>
    </row>
    <row r="34" spans="1:8" ht="15" customHeight="1" x14ac:dyDescent="0.2">
      <c r="A34" s="14">
        <v>1</v>
      </c>
      <c r="B34" s="586"/>
      <c r="C34" s="586"/>
      <c r="D34" s="586"/>
      <c r="E34" s="625"/>
      <c r="F34" s="626"/>
      <c r="G34" s="627"/>
      <c r="H34" s="21"/>
    </row>
    <row r="35" spans="1:8" ht="15" customHeight="1" x14ac:dyDescent="0.2">
      <c r="A35" s="599" t="s">
        <v>135</v>
      </c>
      <c r="B35" s="642"/>
      <c r="C35" s="642"/>
      <c r="D35" s="642"/>
      <c r="E35" s="643"/>
      <c r="F35" s="628"/>
      <c r="G35" s="629"/>
      <c r="H35" s="15"/>
    </row>
    <row r="36" spans="1:8" ht="15" customHeight="1" x14ac:dyDescent="0.2">
      <c r="A36" s="14">
        <v>1</v>
      </c>
      <c r="B36" s="586"/>
      <c r="C36" s="586"/>
      <c r="D36" s="586"/>
      <c r="E36" s="625"/>
      <c r="F36" s="626"/>
      <c r="G36" s="627"/>
      <c r="H36" s="15"/>
    </row>
    <row r="37" spans="1:8" ht="15" customHeight="1" x14ac:dyDescent="0.2">
      <c r="A37" s="599" t="s">
        <v>138</v>
      </c>
      <c r="B37" s="642"/>
      <c r="C37" s="642"/>
      <c r="D37" s="642"/>
      <c r="E37" s="643"/>
      <c r="F37" s="628"/>
      <c r="G37" s="629"/>
      <c r="H37" s="18"/>
    </row>
    <row r="38" spans="1:8" ht="15" customHeight="1" x14ac:dyDescent="0.2">
      <c r="A38" s="14">
        <v>1</v>
      </c>
      <c r="B38" s="586"/>
      <c r="C38" s="586"/>
      <c r="D38" s="586"/>
      <c r="E38" s="625"/>
      <c r="F38" s="626"/>
      <c r="G38" s="627"/>
      <c r="H38" s="21"/>
    </row>
    <row r="39" spans="1:8" ht="15" customHeight="1" x14ac:dyDescent="0.2">
      <c r="A39" s="599" t="s">
        <v>139</v>
      </c>
      <c r="B39" s="642"/>
      <c r="C39" s="642"/>
      <c r="D39" s="642"/>
      <c r="E39" s="643"/>
      <c r="F39" s="628"/>
      <c r="G39" s="629"/>
      <c r="H39" s="15"/>
    </row>
    <row r="40" spans="1:8" ht="15" customHeight="1" x14ac:dyDescent="0.2">
      <c r="A40" s="14">
        <v>1</v>
      </c>
      <c r="B40" s="586"/>
      <c r="C40" s="586"/>
      <c r="D40" s="586"/>
      <c r="E40" s="625"/>
      <c r="F40" s="626"/>
      <c r="G40" s="627"/>
      <c r="H40" s="15"/>
    </row>
    <row r="41" spans="1:8" s="4" customFormat="1" ht="15" customHeight="1" x14ac:dyDescent="0.2">
      <c r="A41" s="10"/>
      <c r="B41" s="612" t="s">
        <v>111</v>
      </c>
      <c r="C41" s="612"/>
      <c r="D41" s="612"/>
      <c r="E41" s="613"/>
      <c r="F41" s="630">
        <f>SUM(F32:G40)</f>
        <v>0</v>
      </c>
      <c r="G41" s="631"/>
      <c r="H41" s="20"/>
    </row>
    <row r="42" spans="1:8" ht="15" customHeight="1" x14ac:dyDescent="0.2">
      <c r="A42" s="632" t="s">
        <v>112</v>
      </c>
      <c r="B42" s="633"/>
      <c r="C42" s="633"/>
      <c r="D42" s="633"/>
      <c r="E42" s="634"/>
      <c r="F42" s="635">
        <f>F18+F30+F41</f>
        <v>0</v>
      </c>
      <c r="G42" s="636"/>
      <c r="H42" s="19"/>
    </row>
    <row r="43" spans="1:8" s="4" customFormat="1" ht="15" customHeight="1" x14ac:dyDescent="0.2">
      <c r="A43" s="616" t="s">
        <v>51</v>
      </c>
      <c r="B43" s="617"/>
      <c r="C43" s="617"/>
      <c r="D43" s="617"/>
      <c r="E43" s="618"/>
      <c r="F43" s="607"/>
      <c r="G43" s="608"/>
      <c r="H43" s="16"/>
    </row>
    <row r="44" spans="1:8" s="4" customFormat="1" ht="15" customHeight="1" thickBot="1" x14ac:dyDescent="0.25">
      <c r="A44" s="616" t="s">
        <v>18</v>
      </c>
      <c r="B44" s="617"/>
      <c r="C44" s="617"/>
      <c r="D44" s="617"/>
      <c r="E44" s="618"/>
      <c r="F44" s="607"/>
      <c r="G44" s="608"/>
      <c r="H44" s="16"/>
    </row>
    <row r="45" spans="1:8" ht="15" customHeight="1" thickBot="1" x14ac:dyDescent="0.25">
      <c r="A45" s="637" t="s">
        <v>19</v>
      </c>
      <c r="B45" s="638"/>
      <c r="C45" s="638"/>
      <c r="D45" s="638"/>
      <c r="E45" s="639"/>
      <c r="F45" s="640">
        <f>SUM(F42:G44)</f>
        <v>0</v>
      </c>
      <c r="G45" s="641"/>
      <c r="H45" s="22">
        <v>1</v>
      </c>
    </row>
    <row r="47" spans="1:8" s="23" customFormat="1" x14ac:dyDescent="0.2">
      <c r="A47" s="24" t="s">
        <v>142</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B40:E40"/>
    <mergeCell ref="F40:G40"/>
    <mergeCell ref="B41:E41"/>
    <mergeCell ref="F41:G41"/>
    <mergeCell ref="F39:G39"/>
    <mergeCell ref="F38:G38"/>
    <mergeCell ref="A42:E42"/>
    <mergeCell ref="F42:G42"/>
    <mergeCell ref="B32:E32"/>
    <mergeCell ref="F32:G32"/>
    <mergeCell ref="F33:G33"/>
    <mergeCell ref="B34:E34"/>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6" t="s">
        <v>143</v>
      </c>
      <c r="F1" s="646"/>
      <c r="G1" s="646"/>
      <c r="H1" s="646"/>
      <c r="I1" s="646"/>
      <c r="J1" s="26"/>
      <c r="K1" s="26"/>
      <c r="L1" s="26"/>
      <c r="M1" s="26"/>
    </row>
    <row r="2" spans="1:13" ht="20.100000000000001" customHeight="1" x14ac:dyDescent="0.2">
      <c r="A2" s="586" t="s">
        <v>8</v>
      </c>
      <c r="B2" s="586"/>
      <c r="C2" s="586"/>
      <c r="D2" s="587" t="str">
        <f>'CSS '!B4:B4</f>
        <v>San Francisco County</v>
      </c>
      <c r="E2" s="587"/>
      <c r="F2" s="12" t="s">
        <v>9</v>
      </c>
      <c r="G2" s="12"/>
      <c r="H2" s="12"/>
      <c r="I2" s="12"/>
      <c r="J2" s="12"/>
      <c r="K2" s="647">
        <f>'CSS '!E4</f>
        <v>0</v>
      </c>
      <c r="L2" s="647"/>
    </row>
    <row r="3" spans="1:13" ht="15" customHeight="1" x14ac:dyDescent="0.2">
      <c r="A3" s="5"/>
      <c r="B3" s="13"/>
      <c r="C3" s="13"/>
      <c r="D3" s="588"/>
      <c r="E3" s="588"/>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9" t="s">
        <v>50</v>
      </c>
      <c r="B5" s="590"/>
      <c r="C5" s="590"/>
      <c r="D5" s="590"/>
      <c r="E5" s="591"/>
      <c r="F5" s="595" t="s">
        <v>0</v>
      </c>
      <c r="G5" s="596"/>
      <c r="H5" s="596"/>
      <c r="I5" s="596"/>
      <c r="J5" s="596"/>
      <c r="K5" s="596"/>
      <c r="L5" s="58" t="s">
        <v>140</v>
      </c>
    </row>
    <row r="6" spans="1:13" s="1" customFormat="1" ht="43.15" customHeight="1" thickBot="1" x14ac:dyDescent="0.25">
      <c r="A6" s="649"/>
      <c r="B6" s="650"/>
      <c r="C6" s="650"/>
      <c r="D6" s="650"/>
      <c r="E6" s="650"/>
      <c r="F6" s="68" t="s">
        <v>54</v>
      </c>
      <c r="G6" s="68" t="s">
        <v>144</v>
      </c>
      <c r="H6" s="68" t="s">
        <v>145</v>
      </c>
      <c r="I6" s="68" t="s">
        <v>90</v>
      </c>
      <c r="J6" s="68" t="s">
        <v>91</v>
      </c>
      <c r="K6" s="69" t="s">
        <v>146</v>
      </c>
      <c r="L6" s="77" t="s">
        <v>140</v>
      </c>
    </row>
    <row r="7" spans="1:13" ht="15" customHeight="1" thickTop="1" x14ac:dyDescent="0.2">
      <c r="A7" s="616" t="s">
        <v>133</v>
      </c>
      <c r="B7" s="648"/>
      <c r="C7" s="648"/>
      <c r="D7" s="648"/>
      <c r="E7" s="648"/>
      <c r="F7" s="65"/>
      <c r="G7" s="66"/>
      <c r="H7" s="66"/>
      <c r="I7" s="66"/>
      <c r="J7" s="66"/>
      <c r="K7" s="67"/>
      <c r="L7" s="45"/>
    </row>
    <row r="8" spans="1:13" ht="15" customHeight="1" x14ac:dyDescent="0.2">
      <c r="A8" s="9">
        <v>1</v>
      </c>
      <c r="B8" s="604"/>
      <c r="C8" s="605"/>
      <c r="D8" s="605"/>
      <c r="E8" s="605"/>
      <c r="F8" s="30"/>
      <c r="G8" s="31"/>
      <c r="H8" s="31"/>
      <c r="I8" s="31"/>
      <c r="J8" s="31"/>
      <c r="K8" s="32"/>
      <c r="L8" s="37"/>
    </row>
    <row r="9" spans="1:13" ht="15" customHeight="1" x14ac:dyDescent="0.2">
      <c r="A9" s="9">
        <v>2</v>
      </c>
      <c r="B9" s="604"/>
      <c r="C9" s="605"/>
      <c r="D9" s="605"/>
      <c r="E9" s="605"/>
      <c r="F9" s="30"/>
      <c r="G9" s="31"/>
      <c r="H9" s="31"/>
      <c r="I9" s="31"/>
      <c r="J9" s="31"/>
      <c r="K9" s="32"/>
      <c r="L9" s="37"/>
    </row>
    <row r="10" spans="1:13" ht="15" customHeight="1" x14ac:dyDescent="0.2">
      <c r="A10" s="9">
        <v>3</v>
      </c>
      <c r="B10" s="604"/>
      <c r="C10" s="605"/>
      <c r="D10" s="605"/>
      <c r="E10" s="605"/>
      <c r="F10" s="30"/>
      <c r="G10" s="31"/>
      <c r="H10" s="31"/>
      <c r="I10" s="31"/>
      <c r="J10" s="31"/>
      <c r="K10" s="32"/>
      <c r="L10" s="37"/>
    </row>
    <row r="11" spans="1:13" ht="15" customHeight="1" x14ac:dyDescent="0.2">
      <c r="A11" s="9">
        <v>4</v>
      </c>
      <c r="B11" s="604"/>
      <c r="C11" s="605"/>
      <c r="D11" s="605"/>
      <c r="E11" s="605"/>
      <c r="F11" s="30"/>
      <c r="G11" s="31"/>
      <c r="H11" s="31"/>
      <c r="I11" s="31"/>
      <c r="J11" s="31"/>
      <c r="K11" s="32"/>
      <c r="L11" s="37"/>
    </row>
    <row r="12" spans="1:13" ht="15" customHeight="1" x14ac:dyDescent="0.2">
      <c r="A12" s="9">
        <v>5</v>
      </c>
      <c r="B12" s="604"/>
      <c r="C12" s="605"/>
      <c r="D12" s="605"/>
      <c r="E12" s="605"/>
      <c r="F12" s="30"/>
      <c r="G12" s="31"/>
      <c r="H12" s="31"/>
      <c r="I12" s="31"/>
      <c r="J12" s="31"/>
      <c r="K12" s="32"/>
      <c r="L12" s="37"/>
    </row>
    <row r="13" spans="1:13" ht="15" customHeight="1" x14ac:dyDescent="0.2">
      <c r="A13" s="9">
        <v>6</v>
      </c>
      <c r="B13" s="604"/>
      <c r="C13" s="605"/>
      <c r="D13" s="605"/>
      <c r="E13" s="605"/>
      <c r="F13" s="30"/>
      <c r="G13" s="31"/>
      <c r="H13" s="31"/>
      <c r="I13" s="31"/>
      <c r="J13" s="31"/>
      <c r="K13" s="32"/>
      <c r="L13" s="37"/>
    </row>
    <row r="14" spans="1:13" ht="15" customHeight="1" x14ac:dyDescent="0.2">
      <c r="A14" s="9">
        <v>7</v>
      </c>
      <c r="B14" s="604"/>
      <c r="C14" s="605"/>
      <c r="D14" s="605"/>
      <c r="E14" s="605"/>
      <c r="F14" s="30"/>
      <c r="G14" s="31"/>
      <c r="H14" s="31"/>
      <c r="I14" s="31"/>
      <c r="J14" s="31"/>
      <c r="K14" s="32"/>
      <c r="L14" s="37"/>
    </row>
    <row r="15" spans="1:13" ht="15" customHeight="1" x14ac:dyDescent="0.2">
      <c r="A15" s="9">
        <v>8</v>
      </c>
      <c r="B15" s="609"/>
      <c r="C15" s="610"/>
      <c r="D15" s="610"/>
      <c r="E15" s="610"/>
      <c r="F15" s="30"/>
      <c r="G15" s="31"/>
      <c r="H15" s="31"/>
      <c r="I15" s="31"/>
      <c r="J15" s="31"/>
      <c r="K15" s="32"/>
      <c r="L15" s="37"/>
    </row>
    <row r="16" spans="1:13" ht="15" customHeight="1" x14ac:dyDescent="0.2">
      <c r="A16" s="9">
        <v>9</v>
      </c>
      <c r="B16" s="609"/>
      <c r="C16" s="610"/>
      <c r="D16" s="610"/>
      <c r="E16" s="610"/>
      <c r="F16" s="30"/>
      <c r="G16" s="31"/>
      <c r="H16" s="31"/>
      <c r="I16" s="31"/>
      <c r="J16" s="31"/>
      <c r="K16" s="32"/>
      <c r="L16" s="37"/>
    </row>
    <row r="17" spans="1:12" ht="15" customHeight="1" x14ac:dyDescent="0.2">
      <c r="A17" s="9">
        <v>10</v>
      </c>
      <c r="B17" s="609"/>
      <c r="C17" s="609"/>
      <c r="D17" s="609"/>
      <c r="E17" s="609"/>
      <c r="F17" s="38"/>
      <c r="G17" s="39"/>
      <c r="H17" s="39"/>
      <c r="I17" s="39"/>
      <c r="J17" s="39"/>
      <c r="K17" s="40"/>
      <c r="L17" s="41"/>
    </row>
    <row r="18" spans="1:12" s="4" customFormat="1" ht="15" customHeight="1" x14ac:dyDescent="0.2">
      <c r="A18" s="10"/>
      <c r="B18" s="612" t="s">
        <v>110</v>
      </c>
      <c r="C18" s="612"/>
      <c r="D18" s="612"/>
      <c r="E18" s="612"/>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6" t="s">
        <v>134</v>
      </c>
      <c r="B19" s="617"/>
      <c r="C19" s="617"/>
      <c r="D19" s="617"/>
      <c r="E19" s="617"/>
      <c r="F19" s="42"/>
      <c r="G19" s="43"/>
      <c r="H19" s="43"/>
      <c r="I19" s="43"/>
      <c r="J19" s="43"/>
      <c r="K19" s="44"/>
      <c r="L19" s="45"/>
    </row>
    <row r="20" spans="1:12" ht="15" customHeight="1" x14ac:dyDescent="0.2">
      <c r="A20" s="9">
        <v>1</v>
      </c>
      <c r="B20" s="604"/>
      <c r="C20" s="604"/>
      <c r="D20" s="604"/>
      <c r="E20" s="604"/>
      <c r="F20" s="30"/>
      <c r="G20" s="31"/>
      <c r="H20" s="31"/>
      <c r="I20" s="31"/>
      <c r="J20" s="31"/>
      <c r="K20" s="32"/>
      <c r="L20" s="37"/>
    </row>
    <row r="21" spans="1:12" ht="15" customHeight="1" x14ac:dyDescent="0.2">
      <c r="A21" s="9">
        <v>2</v>
      </c>
      <c r="B21" s="604"/>
      <c r="C21" s="604"/>
      <c r="D21" s="604"/>
      <c r="E21" s="604"/>
      <c r="F21" s="30"/>
      <c r="G21" s="31"/>
      <c r="H21" s="31"/>
      <c r="I21" s="31"/>
      <c r="J21" s="31"/>
      <c r="K21" s="32"/>
      <c r="L21" s="37"/>
    </row>
    <row r="22" spans="1:12" ht="15" customHeight="1" x14ac:dyDescent="0.2">
      <c r="A22" s="9">
        <v>3</v>
      </c>
      <c r="B22" s="604"/>
      <c r="C22" s="604"/>
      <c r="D22" s="604"/>
      <c r="E22" s="604"/>
      <c r="F22" s="30"/>
      <c r="G22" s="31"/>
      <c r="H22" s="31"/>
      <c r="I22" s="31"/>
      <c r="J22" s="31"/>
      <c r="K22" s="32"/>
      <c r="L22" s="37"/>
    </row>
    <row r="23" spans="1:12" ht="15" customHeight="1" x14ac:dyDescent="0.2">
      <c r="A23" s="9">
        <v>4</v>
      </c>
      <c r="B23" s="604"/>
      <c r="C23" s="604"/>
      <c r="D23" s="604"/>
      <c r="E23" s="604"/>
      <c r="F23" s="30"/>
      <c r="G23" s="31"/>
      <c r="H23" s="31"/>
      <c r="I23" s="31"/>
      <c r="J23" s="31"/>
      <c r="K23" s="32"/>
      <c r="L23" s="37"/>
    </row>
    <row r="24" spans="1:12" ht="15" customHeight="1" x14ac:dyDescent="0.2">
      <c r="A24" s="9">
        <v>5</v>
      </c>
      <c r="B24" s="609"/>
      <c r="C24" s="609"/>
      <c r="D24" s="609"/>
      <c r="E24" s="609"/>
      <c r="F24" s="30"/>
      <c r="G24" s="31"/>
      <c r="H24" s="31"/>
      <c r="I24" s="31"/>
      <c r="J24" s="31"/>
      <c r="K24" s="32"/>
      <c r="L24" s="37"/>
    </row>
    <row r="25" spans="1:12" ht="15" customHeight="1" x14ac:dyDescent="0.2">
      <c r="A25" s="9">
        <v>6</v>
      </c>
      <c r="B25" s="609"/>
      <c r="C25" s="609"/>
      <c r="D25" s="609"/>
      <c r="E25" s="609"/>
      <c r="F25" s="30"/>
      <c r="G25" s="31"/>
      <c r="H25" s="31"/>
      <c r="I25" s="31"/>
      <c r="J25" s="31"/>
      <c r="K25" s="32"/>
      <c r="L25" s="37"/>
    </row>
    <row r="26" spans="1:12" ht="15" customHeight="1" x14ac:dyDescent="0.2">
      <c r="A26" s="9">
        <v>7</v>
      </c>
      <c r="B26" s="609"/>
      <c r="C26" s="609"/>
      <c r="D26" s="609"/>
      <c r="E26" s="609"/>
      <c r="F26" s="30"/>
      <c r="G26" s="31"/>
      <c r="H26" s="31"/>
      <c r="I26" s="31"/>
      <c r="J26" s="31"/>
      <c r="K26" s="32"/>
      <c r="L26" s="37"/>
    </row>
    <row r="27" spans="1:12" ht="15" customHeight="1" x14ac:dyDescent="0.2">
      <c r="A27" s="9">
        <v>8</v>
      </c>
      <c r="B27" s="609"/>
      <c r="C27" s="609"/>
      <c r="D27" s="609"/>
      <c r="E27" s="609"/>
      <c r="F27" s="30"/>
      <c r="G27" s="31"/>
      <c r="H27" s="31"/>
      <c r="I27" s="31"/>
      <c r="J27" s="31"/>
      <c r="K27" s="32"/>
      <c r="L27" s="37"/>
    </row>
    <row r="28" spans="1:12" ht="15" customHeight="1" x14ac:dyDescent="0.2">
      <c r="A28" s="9">
        <v>9</v>
      </c>
      <c r="B28" s="609"/>
      <c r="C28" s="609"/>
      <c r="D28" s="609"/>
      <c r="E28" s="609"/>
      <c r="F28" s="30"/>
      <c r="G28" s="31"/>
      <c r="H28" s="31"/>
      <c r="I28" s="31"/>
      <c r="J28" s="31"/>
      <c r="K28" s="32"/>
      <c r="L28" s="37"/>
    </row>
    <row r="29" spans="1:12" ht="15" customHeight="1" x14ac:dyDescent="0.2">
      <c r="A29" s="9">
        <v>10</v>
      </c>
      <c r="B29" s="609"/>
      <c r="C29" s="609"/>
      <c r="D29" s="609"/>
      <c r="E29" s="609"/>
      <c r="F29" s="38"/>
      <c r="G29" s="39"/>
      <c r="H29" s="39"/>
      <c r="I29" s="39"/>
      <c r="J29" s="39"/>
      <c r="K29" s="40"/>
      <c r="L29" s="41"/>
    </row>
    <row r="30" spans="1:12" s="4" customFormat="1" ht="15" customHeight="1" x14ac:dyDescent="0.2">
      <c r="A30" s="10"/>
      <c r="B30" s="612" t="s">
        <v>119</v>
      </c>
      <c r="C30" s="612"/>
      <c r="D30" s="612"/>
      <c r="E30" s="612"/>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9" t="s">
        <v>136</v>
      </c>
      <c r="B31" s="642"/>
      <c r="C31" s="642"/>
      <c r="D31" s="642"/>
      <c r="E31" s="642"/>
      <c r="F31" s="47"/>
      <c r="G31" s="48"/>
      <c r="H31" s="48"/>
      <c r="I31" s="48"/>
      <c r="J31" s="48"/>
      <c r="K31" s="49"/>
      <c r="L31" s="45"/>
    </row>
    <row r="32" spans="1:12" ht="15" customHeight="1" x14ac:dyDescent="0.2">
      <c r="A32" s="14">
        <v>1</v>
      </c>
      <c r="B32" s="586"/>
      <c r="C32" s="586"/>
      <c r="D32" s="586"/>
      <c r="E32" s="586"/>
      <c r="F32" s="51"/>
      <c r="G32" s="52"/>
      <c r="H32" s="52"/>
      <c r="I32" s="52"/>
      <c r="J32" s="52"/>
      <c r="K32" s="53"/>
      <c r="L32" s="41"/>
    </row>
    <row r="33" spans="1:12" ht="15" customHeight="1" x14ac:dyDescent="0.2">
      <c r="A33" s="599" t="s">
        <v>137</v>
      </c>
      <c r="B33" s="642"/>
      <c r="C33" s="642"/>
      <c r="D33" s="642"/>
      <c r="E33" s="642"/>
      <c r="F33" s="70"/>
      <c r="G33" s="71"/>
      <c r="H33" s="71"/>
      <c r="I33" s="71"/>
      <c r="J33" s="71"/>
      <c r="K33" s="72"/>
      <c r="L33" s="36"/>
    </row>
    <row r="34" spans="1:12" ht="15" customHeight="1" x14ac:dyDescent="0.2">
      <c r="A34" s="14">
        <v>1</v>
      </c>
      <c r="B34" s="586"/>
      <c r="C34" s="586"/>
      <c r="D34" s="586"/>
      <c r="E34" s="586"/>
      <c r="F34" s="73"/>
      <c r="G34" s="74"/>
      <c r="H34" s="74"/>
      <c r="I34" s="74"/>
      <c r="J34" s="74"/>
      <c r="K34" s="75"/>
      <c r="L34" s="76"/>
    </row>
    <row r="35" spans="1:12" ht="15" customHeight="1" x14ac:dyDescent="0.2">
      <c r="A35" s="599" t="s">
        <v>135</v>
      </c>
      <c r="B35" s="642"/>
      <c r="C35" s="642"/>
      <c r="D35" s="642"/>
      <c r="E35" s="642"/>
      <c r="F35" s="47"/>
      <c r="G35" s="48"/>
      <c r="H35" s="48"/>
      <c r="I35" s="48"/>
      <c r="J35" s="48"/>
      <c r="K35" s="49"/>
      <c r="L35" s="45"/>
    </row>
    <row r="36" spans="1:12" ht="15" customHeight="1" x14ac:dyDescent="0.2">
      <c r="A36" s="14">
        <v>1</v>
      </c>
      <c r="B36" s="586"/>
      <c r="C36" s="586"/>
      <c r="D36" s="586"/>
      <c r="E36" s="586"/>
      <c r="F36" s="33"/>
      <c r="G36" s="34"/>
      <c r="H36" s="34"/>
      <c r="I36" s="34"/>
      <c r="J36" s="34"/>
      <c r="K36" s="35"/>
      <c r="L36" s="37"/>
    </row>
    <row r="37" spans="1:12" ht="15" customHeight="1" x14ac:dyDescent="0.2">
      <c r="A37" s="599" t="s">
        <v>138</v>
      </c>
      <c r="B37" s="642"/>
      <c r="C37" s="642"/>
      <c r="D37" s="642"/>
      <c r="E37" s="642"/>
      <c r="F37" s="33"/>
      <c r="G37" s="34"/>
      <c r="H37" s="34"/>
      <c r="I37" s="34"/>
      <c r="J37" s="34"/>
      <c r="K37" s="35"/>
      <c r="L37" s="37"/>
    </row>
    <row r="38" spans="1:12" ht="15" customHeight="1" x14ac:dyDescent="0.2">
      <c r="A38" s="14">
        <v>1</v>
      </c>
      <c r="B38" s="586"/>
      <c r="C38" s="586"/>
      <c r="D38" s="586"/>
      <c r="E38" s="586"/>
      <c r="F38" s="33"/>
      <c r="G38" s="34"/>
      <c r="H38" s="34"/>
      <c r="I38" s="34"/>
      <c r="J38" s="34"/>
      <c r="K38" s="35"/>
      <c r="L38" s="37"/>
    </row>
    <row r="39" spans="1:12" ht="15" customHeight="1" x14ac:dyDescent="0.2">
      <c r="A39" s="599" t="s">
        <v>139</v>
      </c>
      <c r="B39" s="642"/>
      <c r="C39" s="642"/>
      <c r="D39" s="642"/>
      <c r="E39" s="642"/>
      <c r="F39" s="33"/>
      <c r="G39" s="34"/>
      <c r="H39" s="34"/>
      <c r="I39" s="34"/>
      <c r="J39" s="34"/>
      <c r="K39" s="35"/>
      <c r="L39" s="37"/>
    </row>
    <row r="40" spans="1:12" ht="15" customHeight="1" x14ac:dyDescent="0.2">
      <c r="A40" s="14">
        <v>1</v>
      </c>
      <c r="B40" s="586"/>
      <c r="C40" s="586"/>
      <c r="D40" s="586"/>
      <c r="E40" s="586"/>
      <c r="F40" s="51"/>
      <c r="G40" s="52"/>
      <c r="H40" s="52"/>
      <c r="I40" s="52"/>
      <c r="J40" s="52"/>
      <c r="K40" s="53"/>
      <c r="L40" s="41"/>
    </row>
    <row r="41" spans="1:12" s="4" customFormat="1" ht="15" customHeight="1" x14ac:dyDescent="0.2">
      <c r="A41" s="10"/>
      <c r="B41" s="612" t="s">
        <v>111</v>
      </c>
      <c r="C41" s="612"/>
      <c r="D41" s="612"/>
      <c r="E41" s="612"/>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32" t="s">
        <v>112</v>
      </c>
      <c r="B42" s="633"/>
      <c r="C42" s="633"/>
      <c r="D42" s="633"/>
      <c r="E42" s="633"/>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6" t="s">
        <v>51</v>
      </c>
      <c r="B43" s="617"/>
      <c r="C43" s="617"/>
      <c r="D43" s="617"/>
      <c r="E43" s="617"/>
      <c r="F43" s="54"/>
      <c r="G43" s="55"/>
      <c r="H43" s="55"/>
      <c r="I43" s="55"/>
      <c r="J43" s="55"/>
      <c r="K43" s="56"/>
      <c r="L43" s="57"/>
    </row>
    <row r="44" spans="1:12" s="4" customFormat="1" ht="15" customHeight="1" thickBot="1" x14ac:dyDescent="0.25">
      <c r="A44" s="616" t="s">
        <v>18</v>
      </c>
      <c r="B44" s="617"/>
      <c r="C44" s="617"/>
      <c r="D44" s="617"/>
      <c r="E44" s="617"/>
      <c r="F44" s="38"/>
      <c r="G44" s="39"/>
      <c r="H44" s="39"/>
      <c r="I44" s="39"/>
      <c r="J44" s="39"/>
      <c r="K44" s="40"/>
      <c r="L44" s="27"/>
    </row>
    <row r="45" spans="1:12" ht="15" customHeight="1" thickBot="1" x14ac:dyDescent="0.25">
      <c r="A45" s="637" t="s">
        <v>19</v>
      </c>
      <c r="B45" s="638"/>
      <c r="C45" s="638"/>
      <c r="D45" s="638"/>
      <c r="E45" s="638"/>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142</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9"/>
  <sheetViews>
    <sheetView zoomScale="80" zoomScaleNormal="80" workbookViewId="0">
      <selection activeCell="B10" sqref="B10"/>
    </sheetView>
  </sheetViews>
  <sheetFormatPr defaultColWidth="0" defaultRowHeight="15" zeroHeight="1" x14ac:dyDescent="0.2"/>
  <cols>
    <col min="1" max="1" width="10.7109375" style="199" customWidth="1"/>
    <col min="2" max="2" width="86.85546875" style="199" customWidth="1"/>
    <col min="3" max="5" width="6.7109375" style="199" customWidth="1"/>
    <col min="6" max="6" width="10.85546875" style="199" customWidth="1"/>
    <col min="7" max="7" width="49" style="199" customWidth="1"/>
    <col min="8" max="8" width="19.42578125" style="98" customWidth="1"/>
    <col min="9" max="9" width="20.28515625" style="98" hidden="1" customWidth="1"/>
    <col min="10" max="10" width="12.42578125" style="98" hidden="1" customWidth="1"/>
    <col min="11" max="16384" width="0" style="98" hidden="1"/>
  </cols>
  <sheetData>
    <row r="1" spans="1:9" ht="19.899999999999999" customHeight="1" x14ac:dyDescent="0.25">
      <c r="A1" s="271" t="s">
        <v>183</v>
      </c>
      <c r="B1" s="272"/>
      <c r="C1" s="111"/>
      <c r="D1" s="111"/>
      <c r="E1" s="111"/>
      <c r="F1" s="111"/>
      <c r="G1" s="112"/>
      <c r="H1" s="113"/>
      <c r="I1" s="113"/>
    </row>
    <row r="2" spans="1:9" ht="19.899999999999999" customHeight="1" x14ac:dyDescent="0.25">
      <c r="A2" s="265" t="s">
        <v>184</v>
      </c>
      <c r="B2" s="273"/>
      <c r="C2" s="109"/>
      <c r="D2" s="109"/>
      <c r="E2" s="109"/>
      <c r="F2" s="109"/>
      <c r="G2" s="110"/>
      <c r="H2" s="113"/>
      <c r="I2" s="113"/>
    </row>
    <row r="3" spans="1:9" ht="19.899999999999999" customHeight="1" thickBot="1" x14ac:dyDescent="0.3">
      <c r="A3" s="265" t="s">
        <v>185</v>
      </c>
      <c r="B3" s="273"/>
      <c r="C3" s="109"/>
      <c r="D3" s="109"/>
      <c r="E3" s="109"/>
      <c r="F3" s="109"/>
      <c r="G3" s="110"/>
      <c r="H3" s="113"/>
      <c r="I3" s="113"/>
    </row>
    <row r="4" spans="1:9" ht="20.100000000000001" customHeight="1" thickBot="1" x14ac:dyDescent="0.3">
      <c r="A4" s="261" t="s">
        <v>8</v>
      </c>
      <c r="B4" s="226" t="str">
        <f>'CSS '!B4</f>
        <v>San Francisco County</v>
      </c>
      <c r="C4" s="226"/>
      <c r="D4" s="226"/>
      <c r="E4" s="226"/>
      <c r="F4" s="275" t="s">
        <v>9</v>
      </c>
      <c r="G4" s="276">
        <f>'CSS '!G4</f>
        <v>42914</v>
      </c>
    </row>
    <row r="5" spans="1:9" s="107" customFormat="1" ht="40.15" customHeight="1" thickBot="1" x14ac:dyDescent="0.25">
      <c r="A5" s="277" t="s">
        <v>225</v>
      </c>
      <c r="B5" s="278"/>
      <c r="C5" s="279" t="s">
        <v>187</v>
      </c>
      <c r="D5" s="157"/>
      <c r="E5" s="157"/>
      <c r="F5" s="280"/>
      <c r="G5" s="281" t="s">
        <v>54</v>
      </c>
      <c r="H5" s="114"/>
      <c r="I5" s="114"/>
    </row>
    <row r="6" spans="1:9" ht="15" customHeight="1" x14ac:dyDescent="0.25">
      <c r="A6" s="175" t="s">
        <v>31</v>
      </c>
      <c r="B6" s="176"/>
      <c r="C6" s="282" t="s">
        <v>158</v>
      </c>
      <c r="D6" s="282" t="s">
        <v>159</v>
      </c>
      <c r="E6" s="282" t="s">
        <v>98</v>
      </c>
      <c r="F6" s="282" t="s">
        <v>160</v>
      </c>
      <c r="G6" s="268"/>
      <c r="H6" s="115"/>
      <c r="I6" s="115"/>
    </row>
    <row r="7" spans="1:9" ht="15" customHeight="1" x14ac:dyDescent="0.2">
      <c r="A7" s="147">
        <v>1</v>
      </c>
      <c r="B7" s="149" t="s">
        <v>256</v>
      </c>
      <c r="C7" s="269"/>
      <c r="D7" s="269"/>
      <c r="E7" s="269" t="s">
        <v>229</v>
      </c>
      <c r="F7" s="269"/>
      <c r="G7" s="270">
        <f>VLOOKUP(B7,'[38]RER Summary'!$A$4:$M$54,13,FALSE)</f>
        <v>260454.33000000002</v>
      </c>
      <c r="H7" s="115"/>
      <c r="I7" s="115"/>
    </row>
    <row r="8" spans="1:9" ht="15" customHeight="1" x14ac:dyDescent="0.2">
      <c r="A8" s="147">
        <v>2</v>
      </c>
      <c r="B8" s="149" t="s">
        <v>257</v>
      </c>
      <c r="C8" s="269"/>
      <c r="D8" s="269"/>
      <c r="E8" s="269" t="s">
        <v>229</v>
      </c>
      <c r="F8" s="269"/>
      <c r="G8" s="270">
        <f>VLOOKUP(B8,'[38]RER Summary'!$A$4:$M$54,13,FALSE)</f>
        <v>343867.13</v>
      </c>
      <c r="H8" s="115"/>
      <c r="I8" s="115"/>
    </row>
    <row r="9" spans="1:9" ht="15" customHeight="1" x14ac:dyDescent="0.2">
      <c r="A9" s="147">
        <v>3</v>
      </c>
      <c r="B9" s="149" t="s">
        <v>258</v>
      </c>
      <c r="C9" s="269"/>
      <c r="D9" s="269"/>
      <c r="E9" s="269"/>
      <c r="F9" s="269" t="s">
        <v>229</v>
      </c>
      <c r="G9" s="270">
        <f>VLOOKUP(B9,'[38]RER Summary'!$A$4:$M$54,13,FALSE)</f>
        <v>256250</v>
      </c>
      <c r="H9" s="115"/>
      <c r="I9" s="115"/>
    </row>
    <row r="10" spans="1:9" ht="15" customHeight="1" x14ac:dyDescent="0.2">
      <c r="A10" s="147">
        <v>4</v>
      </c>
      <c r="B10" s="149" t="s">
        <v>259</v>
      </c>
      <c r="C10" s="269"/>
      <c r="D10" s="269"/>
      <c r="E10" s="269" t="s">
        <v>229</v>
      </c>
      <c r="F10" s="269"/>
      <c r="G10" s="270">
        <f>VLOOKUP(B10,'[38]RER Summary'!$A$4:$M$54,13,FALSE)</f>
        <v>265000</v>
      </c>
      <c r="H10" s="115"/>
      <c r="I10" s="115"/>
    </row>
    <row r="11" spans="1:9" ht="15" customHeight="1" x14ac:dyDescent="0.2">
      <c r="A11" s="147">
        <v>5</v>
      </c>
      <c r="B11" s="149" t="s">
        <v>260</v>
      </c>
      <c r="C11" s="269"/>
      <c r="D11" s="269"/>
      <c r="E11" s="269" t="s">
        <v>229</v>
      </c>
      <c r="F11" s="269"/>
      <c r="G11" s="270">
        <f>VLOOKUP(B11,'[38]RER Summary'!$A$4:$M$54,13,FALSE)</f>
        <v>296015.2</v>
      </c>
      <c r="H11" s="115"/>
      <c r="I11" s="115"/>
    </row>
    <row r="12" spans="1:9" ht="15" customHeight="1" x14ac:dyDescent="0.2">
      <c r="A12" s="147">
        <v>6</v>
      </c>
      <c r="B12" s="149"/>
      <c r="C12" s="269"/>
      <c r="D12" s="269"/>
      <c r="E12" s="269"/>
      <c r="F12" s="269"/>
      <c r="G12" s="270">
        <v>0</v>
      </c>
      <c r="H12" s="115"/>
      <c r="I12" s="115"/>
    </row>
    <row r="13" spans="1:9" ht="15" customHeight="1" x14ac:dyDescent="0.2">
      <c r="A13" s="147">
        <v>7</v>
      </c>
      <c r="B13" s="149"/>
      <c r="C13" s="269"/>
      <c r="D13" s="269"/>
      <c r="E13" s="269"/>
      <c r="F13" s="269"/>
      <c r="G13" s="270">
        <v>0</v>
      </c>
      <c r="H13" s="115"/>
      <c r="I13" s="115"/>
    </row>
    <row r="14" spans="1:9" ht="15" customHeight="1" x14ac:dyDescent="0.2">
      <c r="A14" s="147">
        <v>8</v>
      </c>
      <c r="B14" s="149"/>
      <c r="C14" s="269"/>
      <c r="D14" s="269"/>
      <c r="E14" s="269"/>
      <c r="F14" s="269"/>
      <c r="G14" s="270">
        <v>0</v>
      </c>
      <c r="H14" s="115"/>
      <c r="I14" s="115"/>
    </row>
    <row r="15" spans="1:9" ht="15" customHeight="1" x14ac:dyDescent="0.2">
      <c r="A15" s="147">
        <v>9</v>
      </c>
      <c r="B15" s="149"/>
      <c r="C15" s="269"/>
      <c r="D15" s="269"/>
      <c r="E15" s="269"/>
      <c r="F15" s="269"/>
      <c r="G15" s="270">
        <v>0</v>
      </c>
      <c r="H15" s="115"/>
      <c r="I15" s="115"/>
    </row>
    <row r="16" spans="1:9" ht="15" customHeight="1" x14ac:dyDescent="0.2">
      <c r="A16" s="147">
        <v>10</v>
      </c>
      <c r="B16" s="149"/>
      <c r="C16" s="269"/>
      <c r="D16" s="269"/>
      <c r="E16" s="269"/>
      <c r="F16" s="269"/>
      <c r="G16" s="270">
        <v>0</v>
      </c>
      <c r="H16" s="115"/>
      <c r="I16" s="115"/>
    </row>
    <row r="17" spans="1:9" ht="15" customHeight="1" x14ac:dyDescent="0.2">
      <c r="A17" s="147">
        <v>11</v>
      </c>
      <c r="B17" s="149"/>
      <c r="C17" s="269"/>
      <c r="D17" s="269"/>
      <c r="E17" s="269"/>
      <c r="F17" s="269"/>
      <c r="G17" s="270">
        <v>0</v>
      </c>
      <c r="H17" s="115"/>
      <c r="I17" s="115"/>
    </row>
    <row r="18" spans="1:9" ht="15" customHeight="1" x14ac:dyDescent="0.2">
      <c r="A18" s="147">
        <v>12</v>
      </c>
      <c r="B18" s="149"/>
      <c r="C18" s="269"/>
      <c r="D18" s="269"/>
      <c r="E18" s="269"/>
      <c r="F18" s="269"/>
      <c r="G18" s="270">
        <v>0</v>
      </c>
      <c r="H18" s="115"/>
      <c r="I18" s="115"/>
    </row>
    <row r="19" spans="1:9" ht="15" customHeight="1" x14ac:dyDescent="0.2">
      <c r="A19" s="147">
        <v>13</v>
      </c>
      <c r="B19" s="149"/>
      <c r="C19" s="269"/>
      <c r="D19" s="269"/>
      <c r="E19" s="269"/>
      <c r="F19" s="269"/>
      <c r="G19" s="270">
        <v>0</v>
      </c>
      <c r="H19" s="115"/>
      <c r="I19" s="115"/>
    </row>
    <row r="20" spans="1:9" ht="15" customHeight="1" x14ac:dyDescent="0.2">
      <c r="A20" s="147">
        <v>14</v>
      </c>
      <c r="B20" s="149"/>
      <c r="C20" s="269"/>
      <c r="D20" s="269"/>
      <c r="E20" s="269"/>
      <c r="F20" s="269"/>
      <c r="G20" s="270">
        <v>0</v>
      </c>
      <c r="H20" s="115"/>
      <c r="I20" s="115"/>
    </row>
    <row r="21" spans="1:9" ht="15" customHeight="1" x14ac:dyDescent="0.2">
      <c r="A21" s="147">
        <v>15</v>
      </c>
      <c r="B21" s="149"/>
      <c r="C21" s="269"/>
      <c r="D21" s="269"/>
      <c r="E21" s="269"/>
      <c r="F21" s="269"/>
      <c r="G21" s="270">
        <v>0</v>
      </c>
      <c r="H21" s="115"/>
      <c r="I21" s="115"/>
    </row>
    <row r="22" spans="1:9" ht="15" customHeight="1" x14ac:dyDescent="0.2">
      <c r="A22" s="147">
        <v>16</v>
      </c>
      <c r="B22" s="149"/>
      <c r="C22" s="269"/>
      <c r="D22" s="269"/>
      <c r="E22" s="269"/>
      <c r="F22" s="269"/>
      <c r="G22" s="270">
        <v>0</v>
      </c>
      <c r="H22" s="115"/>
      <c r="I22" s="115"/>
    </row>
    <row r="23" spans="1:9" ht="15" customHeight="1" x14ac:dyDescent="0.2">
      <c r="A23" s="147">
        <v>17</v>
      </c>
      <c r="B23" s="149"/>
      <c r="C23" s="269"/>
      <c r="D23" s="269"/>
      <c r="E23" s="269"/>
      <c r="F23" s="269"/>
      <c r="G23" s="270">
        <v>0</v>
      </c>
      <c r="H23" s="115"/>
      <c r="I23" s="115"/>
    </row>
    <row r="24" spans="1:9" ht="15" customHeight="1" x14ac:dyDescent="0.2">
      <c r="A24" s="147">
        <v>18</v>
      </c>
      <c r="B24" s="149"/>
      <c r="C24" s="269"/>
      <c r="D24" s="269"/>
      <c r="E24" s="269"/>
      <c r="F24" s="269"/>
      <c r="G24" s="270">
        <v>0</v>
      </c>
      <c r="H24" s="115"/>
      <c r="I24" s="115"/>
    </row>
    <row r="25" spans="1:9" ht="15" customHeight="1" x14ac:dyDescent="0.2">
      <c r="A25" s="147">
        <v>19</v>
      </c>
      <c r="B25" s="149"/>
      <c r="C25" s="269"/>
      <c r="D25" s="269"/>
      <c r="E25" s="269"/>
      <c r="F25" s="269"/>
      <c r="G25" s="270">
        <v>0</v>
      </c>
      <c r="H25" s="115"/>
      <c r="I25" s="115"/>
    </row>
    <row r="26" spans="1:9" ht="15" customHeight="1" x14ac:dyDescent="0.2">
      <c r="A26" s="147">
        <v>20</v>
      </c>
      <c r="B26" s="149"/>
      <c r="C26" s="269"/>
      <c r="D26" s="269"/>
      <c r="E26" s="269"/>
      <c r="F26" s="269"/>
      <c r="G26" s="270">
        <v>0</v>
      </c>
      <c r="H26" s="115"/>
      <c r="I26" s="115"/>
    </row>
    <row r="27" spans="1:9" ht="15" customHeight="1" x14ac:dyDescent="0.2">
      <c r="A27" s="147">
        <v>21</v>
      </c>
      <c r="B27" s="149"/>
      <c r="C27" s="269"/>
      <c r="D27" s="269"/>
      <c r="E27" s="269"/>
      <c r="F27" s="269"/>
      <c r="G27" s="270">
        <v>0</v>
      </c>
      <c r="H27" s="115"/>
      <c r="I27" s="115"/>
    </row>
    <row r="28" spans="1:9" ht="15" customHeight="1" x14ac:dyDescent="0.2">
      <c r="A28" s="147">
        <v>22</v>
      </c>
      <c r="B28" s="149"/>
      <c r="C28" s="269"/>
      <c r="D28" s="269"/>
      <c r="E28" s="269"/>
      <c r="F28" s="269"/>
      <c r="G28" s="270">
        <v>0</v>
      </c>
      <c r="H28" s="115"/>
      <c r="I28" s="115"/>
    </row>
    <row r="29" spans="1:9" ht="15" customHeight="1" x14ac:dyDescent="0.2">
      <c r="A29" s="147">
        <v>23</v>
      </c>
      <c r="B29" s="149"/>
      <c r="C29" s="269"/>
      <c r="D29" s="269"/>
      <c r="E29" s="269"/>
      <c r="F29" s="269"/>
      <c r="G29" s="270">
        <v>0</v>
      </c>
      <c r="H29" s="115"/>
      <c r="I29" s="115"/>
    </row>
    <row r="30" spans="1:9" ht="15" customHeight="1" x14ac:dyDescent="0.2">
      <c r="A30" s="147">
        <v>24</v>
      </c>
      <c r="B30" s="149"/>
      <c r="C30" s="269"/>
      <c r="D30" s="269"/>
      <c r="E30" s="269"/>
      <c r="F30" s="269"/>
      <c r="G30" s="270">
        <v>0</v>
      </c>
      <c r="H30" s="115"/>
      <c r="I30" s="115"/>
    </row>
    <row r="31" spans="1:9" s="108" customFormat="1" ht="15" customHeight="1" x14ac:dyDescent="0.2">
      <c r="A31" s="147">
        <v>25</v>
      </c>
      <c r="B31" s="149"/>
      <c r="C31" s="130"/>
      <c r="D31" s="130"/>
      <c r="E31" s="130"/>
      <c r="F31" s="130"/>
      <c r="G31" s="270">
        <v>0</v>
      </c>
      <c r="H31" s="116"/>
      <c r="I31" s="116"/>
    </row>
    <row r="32" spans="1:9" s="108" customFormat="1" ht="15" customHeight="1" x14ac:dyDescent="0.25">
      <c r="A32" s="264" t="s">
        <v>113</v>
      </c>
      <c r="B32" s="249"/>
      <c r="C32" s="283"/>
      <c r="D32" s="283"/>
      <c r="E32" s="283"/>
      <c r="F32" s="284"/>
      <c r="G32" s="285">
        <f>SUM(G7:G31)</f>
        <v>1421586.66</v>
      </c>
      <c r="H32" s="116"/>
      <c r="I32" s="116"/>
    </row>
    <row r="33" spans="1:11" s="108" customFormat="1" ht="15" customHeight="1" x14ac:dyDescent="0.25">
      <c r="A33" s="264" t="s">
        <v>118</v>
      </c>
      <c r="B33" s="249"/>
      <c r="C33" s="283"/>
      <c r="D33" s="283"/>
      <c r="E33" s="283"/>
      <c r="F33" s="284"/>
      <c r="G33" s="270">
        <f>VLOOKUP("INN Evaluation",'[38]RER Summary'!$A$4:$M$54,13,FALSE)</f>
        <v>147659.35</v>
      </c>
      <c r="H33" s="116"/>
      <c r="I33" s="116"/>
    </row>
    <row r="34" spans="1:11" s="108" customFormat="1" ht="15" customHeight="1" thickBot="1" x14ac:dyDescent="0.3">
      <c r="A34" s="286" t="s">
        <v>23</v>
      </c>
      <c r="B34" s="287"/>
      <c r="C34" s="288"/>
      <c r="D34" s="288"/>
      <c r="E34" s="288"/>
      <c r="F34" s="289"/>
      <c r="G34" s="270">
        <f>VLOOKUP("INN Admin",'[38]RER Summary'!$A$4:$M$54,13,FALSE)</f>
        <v>206656.87999999998</v>
      </c>
    </row>
    <row r="35" spans="1:11" ht="15" customHeight="1" thickBot="1" x14ac:dyDescent="0.3">
      <c r="A35" s="267" t="s">
        <v>24</v>
      </c>
      <c r="B35" s="255"/>
      <c r="C35" s="290"/>
      <c r="D35" s="290"/>
      <c r="E35" s="290"/>
      <c r="F35" s="291"/>
      <c r="G35" s="292">
        <f>SUM(G32:G34)</f>
        <v>1775902.89</v>
      </c>
      <c r="H35" s="104"/>
      <c r="I35" s="104"/>
      <c r="J35" s="104"/>
      <c r="K35" s="104"/>
    </row>
    <row r="36" spans="1:11" x14ac:dyDescent="0.2">
      <c r="A36" s="97"/>
      <c r="B36" s="97"/>
      <c r="C36" s="97"/>
      <c r="D36" s="97"/>
      <c r="E36" s="97"/>
      <c r="F36" s="97"/>
      <c r="G36" s="97"/>
      <c r="H36" s="104"/>
      <c r="I36" s="104"/>
      <c r="J36" s="104"/>
      <c r="K36" s="104"/>
    </row>
    <row r="37" spans="1:11" s="202" customFormat="1" ht="30" customHeight="1" x14ac:dyDescent="0.25">
      <c r="A37" s="200" t="s">
        <v>219</v>
      </c>
      <c r="B37" s="200"/>
      <c r="C37" s="81"/>
      <c r="D37" s="81"/>
      <c r="E37" s="81"/>
      <c r="F37" s="81"/>
      <c r="G37" s="81"/>
      <c r="H37" s="117"/>
      <c r="I37" s="293"/>
    </row>
    <row r="38" spans="1:11" ht="15.75" x14ac:dyDescent="0.25">
      <c r="A38" s="220"/>
      <c r="B38" s="97"/>
      <c r="C38" s="97"/>
      <c r="D38" s="97"/>
      <c r="E38" s="97"/>
      <c r="F38" s="97"/>
      <c r="G38" s="97"/>
    </row>
    <row r="39" spans="1:11" x14ac:dyDescent="0.2">
      <c r="A39" s="97"/>
      <c r="B39" s="97"/>
      <c r="C39" s="97"/>
      <c r="D39" s="97"/>
      <c r="E39" s="97"/>
      <c r="F39" s="97"/>
      <c r="G39" s="97"/>
    </row>
  </sheetData>
  <sheetProtection sheet="1" selectLockedCells="1"/>
  <protectedRanges>
    <protectedRange sqref="G7:G31 G33:G34" name="Range1"/>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67" orientation="portrait" r:id="rId4"/>
  <headerFooter alignWithMargins="0">
    <oddHeader>&amp;R&amp;"Arial,Bold"&amp;12Enclosure 3</oddHeader>
    <oddFooter>&amp;LUpdated: 11/09/2016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6" t="s">
        <v>147</v>
      </c>
      <c r="F1" s="646"/>
      <c r="G1" s="646"/>
      <c r="H1" s="646"/>
      <c r="I1" s="26"/>
      <c r="J1" s="26"/>
      <c r="K1" s="26"/>
      <c r="L1" s="26"/>
    </row>
    <row r="2" spans="1:12" ht="20.100000000000001" customHeight="1" x14ac:dyDescent="0.2">
      <c r="A2" s="586" t="s">
        <v>8</v>
      </c>
      <c r="B2" s="586"/>
      <c r="C2" s="586"/>
      <c r="D2" s="587" t="str">
        <f>'CSS '!B4:B4</f>
        <v>San Francisco County</v>
      </c>
      <c r="E2" s="587"/>
      <c r="F2" s="12" t="s">
        <v>9</v>
      </c>
      <c r="G2" s="12"/>
      <c r="H2" s="12"/>
      <c r="I2" s="12"/>
      <c r="J2" s="647">
        <f>'CSS '!E4</f>
        <v>0</v>
      </c>
      <c r="K2" s="647"/>
    </row>
    <row r="3" spans="1:12" ht="15" customHeight="1" x14ac:dyDescent="0.2">
      <c r="A3" s="5"/>
      <c r="B3" s="13"/>
      <c r="C3" s="13"/>
      <c r="D3" s="588"/>
      <c r="E3" s="588"/>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9" t="s">
        <v>52</v>
      </c>
      <c r="B5" s="590"/>
      <c r="C5" s="590"/>
      <c r="D5" s="590"/>
      <c r="E5" s="591"/>
      <c r="F5" s="595" t="s">
        <v>0</v>
      </c>
      <c r="G5" s="596"/>
      <c r="H5" s="596"/>
      <c r="I5" s="596"/>
      <c r="J5" s="596"/>
      <c r="K5" s="58" t="s">
        <v>140</v>
      </c>
    </row>
    <row r="6" spans="1:12" s="1" customFormat="1" ht="43.15" customHeight="1" thickBot="1" x14ac:dyDescent="0.25">
      <c r="A6" s="649"/>
      <c r="B6" s="650"/>
      <c r="C6" s="650"/>
      <c r="D6" s="650"/>
      <c r="E6" s="650"/>
      <c r="F6" s="68" t="s">
        <v>148</v>
      </c>
      <c r="G6" s="68" t="s">
        <v>145</v>
      </c>
      <c r="H6" s="68" t="s">
        <v>90</v>
      </c>
      <c r="I6" s="68" t="s">
        <v>91</v>
      </c>
      <c r="J6" s="69" t="s">
        <v>146</v>
      </c>
      <c r="K6" s="77" t="s">
        <v>140</v>
      </c>
    </row>
    <row r="7" spans="1:12" ht="15" customHeight="1" thickTop="1" x14ac:dyDescent="0.2">
      <c r="A7" s="616" t="s">
        <v>153</v>
      </c>
      <c r="B7" s="648"/>
      <c r="C7" s="648"/>
      <c r="D7" s="648"/>
      <c r="E7" s="648"/>
      <c r="F7" s="65"/>
      <c r="G7" s="66"/>
      <c r="H7" s="66"/>
      <c r="I7" s="66"/>
      <c r="J7" s="67"/>
      <c r="K7" s="45"/>
    </row>
    <row r="8" spans="1:12" ht="15" customHeight="1" x14ac:dyDescent="0.2">
      <c r="A8" s="9">
        <v>1</v>
      </c>
      <c r="B8" s="604"/>
      <c r="C8" s="605"/>
      <c r="D8" s="605"/>
      <c r="E8" s="605"/>
      <c r="F8" s="30"/>
      <c r="G8" s="31"/>
      <c r="H8" s="31"/>
      <c r="I8" s="31"/>
      <c r="J8" s="32"/>
      <c r="K8" s="37"/>
    </row>
    <row r="9" spans="1:12" ht="15" customHeight="1" x14ac:dyDescent="0.2">
      <c r="A9" s="9">
        <v>2</v>
      </c>
      <c r="B9" s="604"/>
      <c r="C9" s="605"/>
      <c r="D9" s="605"/>
      <c r="E9" s="605"/>
      <c r="F9" s="30"/>
      <c r="G9" s="31"/>
      <c r="H9" s="31"/>
      <c r="I9" s="31"/>
      <c r="J9" s="32"/>
      <c r="K9" s="37"/>
    </row>
    <row r="10" spans="1:12" ht="15" customHeight="1" x14ac:dyDescent="0.2">
      <c r="A10" s="9">
        <v>3</v>
      </c>
      <c r="B10" s="604"/>
      <c r="C10" s="605"/>
      <c r="D10" s="605"/>
      <c r="E10" s="605"/>
      <c r="F10" s="30"/>
      <c r="G10" s="31"/>
      <c r="H10" s="31"/>
      <c r="I10" s="31"/>
      <c r="J10" s="32"/>
      <c r="K10" s="37"/>
    </row>
    <row r="11" spans="1:12" ht="15" customHeight="1" x14ac:dyDescent="0.2">
      <c r="A11" s="9">
        <v>4</v>
      </c>
      <c r="B11" s="604"/>
      <c r="C11" s="605"/>
      <c r="D11" s="605"/>
      <c r="E11" s="605"/>
      <c r="F11" s="30"/>
      <c r="G11" s="31"/>
      <c r="H11" s="31"/>
      <c r="I11" s="31"/>
      <c r="J11" s="32"/>
      <c r="K11" s="37"/>
    </row>
    <row r="12" spans="1:12" ht="15" customHeight="1" x14ac:dyDescent="0.2">
      <c r="A12" s="9">
        <v>5</v>
      </c>
      <c r="B12" s="604"/>
      <c r="C12" s="605"/>
      <c r="D12" s="605"/>
      <c r="E12" s="605"/>
      <c r="F12" s="30"/>
      <c r="G12" s="31"/>
      <c r="H12" s="31"/>
      <c r="I12" s="31"/>
      <c r="J12" s="32"/>
      <c r="K12" s="37"/>
    </row>
    <row r="13" spans="1:12" ht="15" customHeight="1" x14ac:dyDescent="0.2">
      <c r="A13" s="9">
        <v>6</v>
      </c>
      <c r="B13" s="604"/>
      <c r="C13" s="605"/>
      <c r="D13" s="605"/>
      <c r="E13" s="605"/>
      <c r="F13" s="30"/>
      <c r="G13" s="31"/>
      <c r="H13" s="31"/>
      <c r="I13" s="31"/>
      <c r="J13" s="32"/>
      <c r="K13" s="37"/>
    </row>
    <row r="14" spans="1:12" ht="15" customHeight="1" x14ac:dyDescent="0.2">
      <c r="A14" s="9">
        <v>7</v>
      </c>
      <c r="B14" s="604"/>
      <c r="C14" s="605"/>
      <c r="D14" s="605"/>
      <c r="E14" s="605"/>
      <c r="F14" s="30"/>
      <c r="G14" s="31"/>
      <c r="H14" s="31"/>
      <c r="I14" s="31"/>
      <c r="J14" s="32"/>
      <c r="K14" s="37"/>
    </row>
    <row r="15" spans="1:12" ht="15" customHeight="1" x14ac:dyDescent="0.2">
      <c r="A15" s="9">
        <v>8</v>
      </c>
      <c r="B15" s="609"/>
      <c r="C15" s="610"/>
      <c r="D15" s="610"/>
      <c r="E15" s="610"/>
      <c r="F15" s="30"/>
      <c r="G15" s="31"/>
      <c r="H15" s="31"/>
      <c r="I15" s="31"/>
      <c r="J15" s="32"/>
      <c r="K15" s="37"/>
    </row>
    <row r="16" spans="1:12" ht="15" customHeight="1" x14ac:dyDescent="0.2">
      <c r="A16" s="9">
        <v>9</v>
      </c>
      <c r="B16" s="609"/>
      <c r="C16" s="610"/>
      <c r="D16" s="610"/>
      <c r="E16" s="610"/>
      <c r="F16" s="30"/>
      <c r="G16" s="31"/>
      <c r="H16" s="31"/>
      <c r="I16" s="31"/>
      <c r="J16" s="32"/>
      <c r="K16" s="37"/>
    </row>
    <row r="17" spans="1:11" ht="15" customHeight="1" x14ac:dyDescent="0.2">
      <c r="A17" s="9">
        <v>10</v>
      </c>
      <c r="B17" s="609"/>
      <c r="C17" s="609"/>
      <c r="D17" s="609"/>
      <c r="E17" s="609"/>
      <c r="F17" s="38"/>
      <c r="G17" s="39"/>
      <c r="H17" s="39"/>
      <c r="I17" s="39"/>
      <c r="J17" s="40"/>
      <c r="K17" s="41"/>
    </row>
    <row r="18" spans="1:11" s="4" customFormat="1" ht="15" customHeight="1" x14ac:dyDescent="0.2">
      <c r="A18" s="10"/>
      <c r="B18" s="612" t="s">
        <v>149</v>
      </c>
      <c r="C18" s="612"/>
      <c r="D18" s="612"/>
      <c r="E18" s="612"/>
      <c r="F18" s="46">
        <f>SUM(F8:J17)</f>
        <v>0</v>
      </c>
      <c r="G18" s="46">
        <f>SUM(G8:L17)</f>
        <v>0</v>
      </c>
      <c r="H18" s="46">
        <f>SUM(H8:M17)</f>
        <v>0</v>
      </c>
      <c r="I18" s="46">
        <f>SUM(I8:N17)</f>
        <v>0</v>
      </c>
      <c r="J18" s="46">
        <f>SUM(J8:O17)</f>
        <v>0</v>
      </c>
      <c r="K18" s="59">
        <f>SUM(K8:P17)</f>
        <v>0</v>
      </c>
    </row>
    <row r="19" spans="1:11" ht="15" customHeight="1" x14ac:dyDescent="0.2">
      <c r="A19" s="616" t="s">
        <v>152</v>
      </c>
      <c r="B19" s="617"/>
      <c r="C19" s="617"/>
      <c r="D19" s="617"/>
      <c r="E19" s="617"/>
      <c r="F19" s="42"/>
      <c r="G19" s="43"/>
      <c r="H19" s="43"/>
      <c r="I19" s="43"/>
      <c r="J19" s="44"/>
      <c r="K19" s="45"/>
    </row>
    <row r="20" spans="1:11" ht="15" customHeight="1" x14ac:dyDescent="0.2">
      <c r="A20" s="9">
        <v>1</v>
      </c>
      <c r="B20" s="604"/>
      <c r="C20" s="604"/>
      <c r="D20" s="604"/>
      <c r="E20" s="604"/>
      <c r="F20" s="30"/>
      <c r="G20" s="31"/>
      <c r="H20" s="31"/>
      <c r="I20" s="31"/>
      <c r="J20" s="32"/>
      <c r="K20" s="37"/>
    </row>
    <row r="21" spans="1:11" ht="15" customHeight="1" x14ac:dyDescent="0.2">
      <c r="A21" s="9">
        <v>2</v>
      </c>
      <c r="B21" s="604"/>
      <c r="C21" s="604"/>
      <c r="D21" s="604"/>
      <c r="E21" s="604"/>
      <c r="F21" s="30"/>
      <c r="G21" s="31"/>
      <c r="H21" s="31"/>
      <c r="I21" s="31"/>
      <c r="J21" s="32"/>
      <c r="K21" s="37"/>
    </row>
    <row r="22" spans="1:11" ht="15" customHeight="1" x14ac:dyDescent="0.2">
      <c r="A22" s="9">
        <v>3</v>
      </c>
      <c r="B22" s="604"/>
      <c r="C22" s="604"/>
      <c r="D22" s="604"/>
      <c r="E22" s="604"/>
      <c r="F22" s="30"/>
      <c r="G22" s="31"/>
      <c r="H22" s="31"/>
      <c r="I22" s="31"/>
      <c r="J22" s="32"/>
      <c r="K22" s="37"/>
    </row>
    <row r="23" spans="1:11" ht="15" customHeight="1" x14ac:dyDescent="0.2">
      <c r="A23" s="9">
        <v>4</v>
      </c>
      <c r="B23" s="604"/>
      <c r="C23" s="604"/>
      <c r="D23" s="604"/>
      <c r="E23" s="604"/>
      <c r="F23" s="30"/>
      <c r="G23" s="31"/>
      <c r="H23" s="31"/>
      <c r="I23" s="31"/>
      <c r="J23" s="32"/>
      <c r="K23" s="37"/>
    </row>
    <row r="24" spans="1:11" ht="15" customHeight="1" x14ac:dyDescent="0.2">
      <c r="A24" s="9">
        <v>5</v>
      </c>
      <c r="B24" s="609"/>
      <c r="C24" s="609"/>
      <c r="D24" s="609"/>
      <c r="E24" s="609"/>
      <c r="F24" s="30"/>
      <c r="G24" s="31"/>
      <c r="H24" s="31"/>
      <c r="I24" s="31"/>
      <c r="J24" s="32"/>
      <c r="K24" s="37"/>
    </row>
    <row r="25" spans="1:11" ht="15" customHeight="1" x14ac:dyDescent="0.2">
      <c r="A25" s="9">
        <v>6</v>
      </c>
      <c r="B25" s="609"/>
      <c r="C25" s="609"/>
      <c r="D25" s="609"/>
      <c r="E25" s="609"/>
      <c r="F25" s="30"/>
      <c r="G25" s="31"/>
      <c r="H25" s="31"/>
      <c r="I25" s="31"/>
      <c r="J25" s="32"/>
      <c r="K25" s="37"/>
    </row>
    <row r="26" spans="1:11" ht="15" customHeight="1" x14ac:dyDescent="0.2">
      <c r="A26" s="9">
        <v>7</v>
      </c>
      <c r="B26" s="609"/>
      <c r="C26" s="609"/>
      <c r="D26" s="609"/>
      <c r="E26" s="609"/>
      <c r="F26" s="30"/>
      <c r="G26" s="31"/>
      <c r="H26" s="31"/>
      <c r="I26" s="31"/>
      <c r="J26" s="32"/>
      <c r="K26" s="37"/>
    </row>
    <row r="27" spans="1:11" ht="15" customHeight="1" x14ac:dyDescent="0.2">
      <c r="A27" s="9">
        <v>8</v>
      </c>
      <c r="B27" s="609"/>
      <c r="C27" s="609"/>
      <c r="D27" s="609"/>
      <c r="E27" s="609"/>
      <c r="F27" s="30"/>
      <c r="G27" s="31"/>
      <c r="H27" s="31"/>
      <c r="I27" s="31"/>
      <c r="J27" s="32"/>
      <c r="K27" s="37"/>
    </row>
    <row r="28" spans="1:11" ht="15" customHeight="1" x14ac:dyDescent="0.2">
      <c r="A28" s="9">
        <v>9</v>
      </c>
      <c r="B28" s="609"/>
      <c r="C28" s="609"/>
      <c r="D28" s="609"/>
      <c r="E28" s="609"/>
      <c r="F28" s="30"/>
      <c r="G28" s="31"/>
      <c r="H28" s="31"/>
      <c r="I28" s="31"/>
      <c r="J28" s="32"/>
      <c r="K28" s="37"/>
    </row>
    <row r="29" spans="1:11" ht="15" customHeight="1" x14ac:dyDescent="0.2">
      <c r="A29" s="9">
        <v>10</v>
      </c>
      <c r="B29" s="609"/>
      <c r="C29" s="609"/>
      <c r="D29" s="609"/>
      <c r="E29" s="609"/>
      <c r="F29" s="38"/>
      <c r="G29" s="39"/>
      <c r="H29" s="39"/>
      <c r="I29" s="39"/>
      <c r="J29" s="40"/>
      <c r="K29" s="41"/>
    </row>
    <row r="30" spans="1:11" s="4" customFormat="1" ht="15" customHeight="1" x14ac:dyDescent="0.2">
      <c r="A30" s="10"/>
      <c r="B30" s="612" t="s">
        <v>150</v>
      </c>
      <c r="C30" s="612"/>
      <c r="D30" s="612"/>
      <c r="E30" s="612"/>
      <c r="F30" s="50">
        <f>SUM(F20:J29)</f>
        <v>0</v>
      </c>
      <c r="G30" s="50">
        <f>SUM(G20:L29)</f>
        <v>0</v>
      </c>
      <c r="H30" s="50">
        <f>SUM(H20:M29)</f>
        <v>0</v>
      </c>
      <c r="I30" s="50">
        <f>SUM(I20:N29)</f>
        <v>0</v>
      </c>
      <c r="J30" s="50">
        <f>SUM(J20:O29)</f>
        <v>0</v>
      </c>
      <c r="K30" s="60">
        <f>SUM(K20:P29)</f>
        <v>0</v>
      </c>
    </row>
    <row r="31" spans="1:11" ht="17.100000000000001" customHeight="1" x14ac:dyDescent="0.2">
      <c r="A31" s="599" t="s">
        <v>151</v>
      </c>
      <c r="B31" s="642"/>
      <c r="C31" s="642"/>
      <c r="D31" s="642"/>
      <c r="E31" s="642"/>
      <c r="F31" s="47"/>
      <c r="G31" s="48"/>
      <c r="H31" s="48"/>
      <c r="I31" s="48"/>
      <c r="J31" s="49"/>
      <c r="K31" s="45"/>
    </row>
    <row r="32" spans="1:11" ht="15" customHeight="1" x14ac:dyDescent="0.2">
      <c r="A32" s="9">
        <v>1</v>
      </c>
      <c r="B32" s="604"/>
      <c r="C32" s="604"/>
      <c r="D32" s="604"/>
      <c r="E32" s="604"/>
      <c r="F32" s="30"/>
      <c r="G32" s="31"/>
      <c r="H32" s="31"/>
      <c r="I32" s="31"/>
      <c r="J32" s="32"/>
      <c r="K32" s="37"/>
    </row>
    <row r="33" spans="1:11" ht="15" customHeight="1" x14ac:dyDescent="0.2">
      <c r="A33" s="9">
        <v>2</v>
      </c>
      <c r="B33" s="604"/>
      <c r="C33" s="604"/>
      <c r="D33" s="604"/>
      <c r="E33" s="604"/>
      <c r="F33" s="30"/>
      <c r="G33" s="31"/>
      <c r="H33" s="31"/>
      <c r="I33" s="31"/>
      <c r="J33" s="32"/>
      <c r="K33" s="37"/>
    </row>
    <row r="34" spans="1:11" ht="15" customHeight="1" x14ac:dyDescent="0.2">
      <c r="A34" s="9">
        <v>3</v>
      </c>
      <c r="B34" s="604"/>
      <c r="C34" s="604"/>
      <c r="D34" s="604"/>
      <c r="E34" s="604"/>
      <c r="F34" s="30"/>
      <c r="G34" s="31"/>
      <c r="H34" s="31"/>
      <c r="I34" s="31"/>
      <c r="J34" s="32"/>
      <c r="K34" s="37"/>
    </row>
    <row r="35" spans="1:11" ht="15" customHeight="1" x14ac:dyDescent="0.2">
      <c r="A35" s="9">
        <v>4</v>
      </c>
      <c r="B35" s="604"/>
      <c r="C35" s="604"/>
      <c r="D35" s="604"/>
      <c r="E35" s="604"/>
      <c r="F35" s="30"/>
      <c r="G35" s="31"/>
      <c r="H35" s="31"/>
      <c r="I35" s="31"/>
      <c r="J35" s="32"/>
      <c r="K35" s="37"/>
    </row>
    <row r="36" spans="1:11" ht="15" customHeight="1" x14ac:dyDescent="0.2">
      <c r="A36" s="9">
        <v>5</v>
      </c>
      <c r="B36" s="609"/>
      <c r="C36" s="609"/>
      <c r="D36" s="609"/>
      <c r="E36" s="609"/>
      <c r="F36" s="30"/>
      <c r="G36" s="31"/>
      <c r="H36" s="31"/>
      <c r="I36" s="31"/>
      <c r="J36" s="32"/>
      <c r="K36" s="37"/>
    </row>
    <row r="37" spans="1:11" ht="15" customHeight="1" x14ac:dyDescent="0.2">
      <c r="A37" s="9">
        <v>6</v>
      </c>
      <c r="B37" s="609"/>
      <c r="C37" s="609"/>
      <c r="D37" s="609"/>
      <c r="E37" s="609"/>
      <c r="F37" s="30"/>
      <c r="G37" s="31"/>
      <c r="H37" s="31"/>
      <c r="I37" s="31"/>
      <c r="J37" s="32"/>
      <c r="K37" s="37"/>
    </row>
    <row r="38" spans="1:11" ht="15" customHeight="1" x14ac:dyDescent="0.2">
      <c r="A38" s="9">
        <v>7</v>
      </c>
      <c r="B38" s="609"/>
      <c r="C38" s="609"/>
      <c r="D38" s="609"/>
      <c r="E38" s="609"/>
      <c r="F38" s="30"/>
      <c r="G38" s="31"/>
      <c r="H38" s="31"/>
      <c r="I38" s="31"/>
      <c r="J38" s="32"/>
      <c r="K38" s="37"/>
    </row>
    <row r="39" spans="1:11" ht="15" customHeight="1" x14ac:dyDescent="0.2">
      <c r="A39" s="9">
        <v>8</v>
      </c>
      <c r="B39" s="609"/>
      <c r="C39" s="609"/>
      <c r="D39" s="609"/>
      <c r="E39" s="609"/>
      <c r="F39" s="30"/>
      <c r="G39" s="31"/>
      <c r="H39" s="31"/>
      <c r="I39" s="31"/>
      <c r="J39" s="32"/>
      <c r="K39" s="37"/>
    </row>
    <row r="40" spans="1:11" ht="15" customHeight="1" x14ac:dyDescent="0.2">
      <c r="A40" s="9">
        <v>9</v>
      </c>
      <c r="B40" s="609"/>
      <c r="C40" s="609"/>
      <c r="D40" s="609"/>
      <c r="E40" s="609"/>
      <c r="F40" s="30"/>
      <c r="G40" s="31"/>
      <c r="H40" s="31"/>
      <c r="I40" s="31"/>
      <c r="J40" s="32"/>
      <c r="K40" s="37"/>
    </row>
    <row r="41" spans="1:11" ht="15" customHeight="1" x14ac:dyDescent="0.2">
      <c r="A41" s="9">
        <v>10</v>
      </c>
      <c r="B41" s="609"/>
      <c r="C41" s="609"/>
      <c r="D41" s="609"/>
      <c r="E41" s="609"/>
      <c r="F41" s="38"/>
      <c r="G41" s="39"/>
      <c r="H41" s="39"/>
      <c r="I41" s="39"/>
      <c r="J41" s="40"/>
      <c r="K41" s="41"/>
    </row>
    <row r="42" spans="1:11" ht="15" customHeight="1" thickBot="1" x14ac:dyDescent="0.25">
      <c r="A42" s="11"/>
      <c r="B42" s="651" t="s">
        <v>154</v>
      </c>
      <c r="C42" s="651"/>
      <c r="D42" s="651"/>
      <c r="E42" s="652"/>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7" t="s">
        <v>155</v>
      </c>
      <c r="B43" s="638"/>
      <c r="C43" s="638"/>
      <c r="D43" s="638"/>
      <c r="E43" s="638"/>
      <c r="F43" s="62">
        <f>SUM(F42:J42)</f>
        <v>0</v>
      </c>
      <c r="G43" s="63">
        <f>SUM(G42:L42)</f>
        <v>0</v>
      </c>
      <c r="H43" s="63">
        <f>SUM(H42:M42)</f>
        <v>0</v>
      </c>
      <c r="I43" s="63">
        <f>SUM(I42:N42)</f>
        <v>0</v>
      </c>
      <c r="J43" s="63">
        <f>SUM(J42:O42)</f>
        <v>0</v>
      </c>
      <c r="K43" s="64">
        <v>1</v>
      </c>
    </row>
    <row r="45" spans="1:11" s="23" customFormat="1" x14ac:dyDescent="0.2">
      <c r="A45" s="24" t="s">
        <v>142</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22:E22"/>
    <mergeCell ref="B23:E23"/>
    <mergeCell ref="B12:E12"/>
    <mergeCell ref="E1:H1"/>
    <mergeCell ref="A2:C2"/>
    <mergeCell ref="D2:E2"/>
    <mergeCell ref="J2:K2"/>
    <mergeCell ref="D3:E3"/>
    <mergeCell ref="A5:E6"/>
    <mergeCell ref="F5:J5"/>
    <mergeCell ref="A7:E7"/>
    <mergeCell ref="B8:E8"/>
    <mergeCell ref="B9:E9"/>
    <mergeCell ref="B10:E10"/>
    <mergeCell ref="B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7"/>
  <sheetViews>
    <sheetView workbookViewId="0">
      <selection activeCell="D5" sqref="D5"/>
    </sheetView>
  </sheetViews>
  <sheetFormatPr defaultColWidth="0" defaultRowHeight="12.75" zeroHeight="1" x14ac:dyDescent="0.2"/>
  <cols>
    <col min="1" max="1" width="3.5703125" style="98" customWidth="1"/>
    <col min="2" max="2" width="6.42578125" style="98" customWidth="1"/>
    <col min="3" max="3" width="27" style="98" customWidth="1"/>
    <col min="4" max="4" width="17.5703125" style="98" customWidth="1"/>
    <col min="5" max="5" width="50.5703125" style="98" customWidth="1"/>
    <col min="6" max="6" width="8.85546875" style="98" customWidth="1"/>
    <col min="7" max="16384" width="0" style="98" hidden="1"/>
  </cols>
  <sheetData>
    <row r="1" spans="1:6" ht="19.899999999999999" customHeight="1" x14ac:dyDescent="0.25">
      <c r="A1" s="297" t="s">
        <v>188</v>
      </c>
      <c r="B1" s="297"/>
      <c r="C1" s="298"/>
      <c r="D1" s="298"/>
      <c r="E1" s="299"/>
      <c r="F1" s="97"/>
    </row>
    <row r="2" spans="1:6" ht="19.899999999999999" customHeight="1" x14ac:dyDescent="0.25">
      <c r="A2" s="265" t="s">
        <v>189</v>
      </c>
      <c r="B2" s="273"/>
      <c r="C2" s="273"/>
      <c r="D2" s="273"/>
      <c r="E2" s="274"/>
      <c r="F2" s="97"/>
    </row>
    <row r="3" spans="1:6" ht="19.899999999999999" customHeight="1" thickBot="1" x14ac:dyDescent="0.3">
      <c r="A3" s="265" t="s">
        <v>190</v>
      </c>
      <c r="B3" s="273"/>
      <c r="C3" s="273"/>
      <c r="D3" s="273"/>
      <c r="E3" s="274"/>
      <c r="F3" s="97"/>
    </row>
    <row r="4" spans="1:6" ht="20.100000000000001" customHeight="1" thickBot="1" x14ac:dyDescent="0.3">
      <c r="A4" s="261" t="s">
        <v>8</v>
      </c>
      <c r="B4" s="255"/>
      <c r="C4" s="226" t="str">
        <f>'CSS '!B4</f>
        <v>San Francisco County</v>
      </c>
      <c r="D4" s="275" t="s">
        <v>9</v>
      </c>
      <c r="E4" s="276">
        <f>'CSS '!G4</f>
        <v>42914</v>
      </c>
      <c r="F4" s="97"/>
    </row>
    <row r="5" spans="1:6" s="107" customFormat="1" ht="40.15" customHeight="1" thickBot="1" x14ac:dyDescent="0.3">
      <c r="A5" s="259" t="s">
        <v>53</v>
      </c>
      <c r="B5" s="221"/>
      <c r="C5" s="221"/>
      <c r="D5" s="230"/>
      <c r="E5" s="300" t="s">
        <v>193</v>
      </c>
      <c r="F5" s="83"/>
    </row>
    <row r="6" spans="1:6" ht="15" customHeight="1" x14ac:dyDescent="0.25">
      <c r="A6" s="301" t="s">
        <v>36</v>
      </c>
      <c r="B6" s="302"/>
      <c r="C6" s="302"/>
      <c r="D6" s="303"/>
      <c r="E6" s="304"/>
      <c r="F6" s="97"/>
    </row>
    <row r="7" spans="1:6" ht="15" customHeight="1" x14ac:dyDescent="0.2">
      <c r="A7" s="147"/>
      <c r="B7" s="305" t="s">
        <v>10</v>
      </c>
      <c r="C7" s="305"/>
      <c r="D7" s="306"/>
      <c r="E7" s="295">
        <v>0</v>
      </c>
      <c r="F7" s="97"/>
    </row>
    <row r="8" spans="1:6" ht="15" customHeight="1" x14ac:dyDescent="0.2">
      <c r="A8" s="147"/>
      <c r="B8" s="305" t="s">
        <v>11</v>
      </c>
      <c r="C8" s="305"/>
      <c r="D8" s="306"/>
      <c r="E8" s="270">
        <f>'[38]RER Summary'!$M$50</f>
        <v>1771335.32</v>
      </c>
      <c r="F8" s="97"/>
    </row>
    <row r="9" spans="1:6" ht="15" customHeight="1" x14ac:dyDescent="0.2">
      <c r="A9" s="147"/>
      <c r="B9" s="305" t="s">
        <v>12</v>
      </c>
      <c r="C9" s="305"/>
      <c r="D9" s="306"/>
      <c r="E9" s="270">
        <f>'[38]RER Summary'!$M$51</f>
        <v>989228.9</v>
      </c>
      <c r="F9" s="97"/>
    </row>
    <row r="10" spans="1:6" ht="15" customHeight="1" x14ac:dyDescent="0.2">
      <c r="A10" s="147"/>
      <c r="B10" s="305" t="s">
        <v>13</v>
      </c>
      <c r="C10" s="305"/>
      <c r="D10" s="306"/>
      <c r="E10" s="270">
        <f>'[38]RER Summary'!$M$52</f>
        <v>473931.88</v>
      </c>
      <c r="F10" s="97"/>
    </row>
    <row r="11" spans="1:6" ht="15" customHeight="1" thickBot="1" x14ac:dyDescent="0.25">
      <c r="A11" s="307"/>
      <c r="B11" s="308" t="s">
        <v>14</v>
      </c>
      <c r="C11" s="308"/>
      <c r="D11" s="309"/>
      <c r="E11" s="296">
        <v>0</v>
      </c>
      <c r="F11" s="97"/>
    </row>
    <row r="12" spans="1:6" ht="19.149999999999999" customHeight="1" x14ac:dyDescent="0.2">
      <c r="A12" s="310" t="s">
        <v>57</v>
      </c>
      <c r="B12" s="311"/>
      <c r="C12" s="311"/>
      <c r="D12" s="312"/>
      <c r="E12" s="304">
        <f>SUM(E7:E11)</f>
        <v>3234496.1</v>
      </c>
      <c r="F12" s="97"/>
    </row>
    <row r="13" spans="1:6" s="108" customFormat="1" ht="19.5" customHeight="1" x14ac:dyDescent="0.2">
      <c r="A13" s="310" t="s">
        <v>21</v>
      </c>
      <c r="B13" s="311"/>
      <c r="C13" s="311"/>
      <c r="D13" s="312"/>
      <c r="E13" s="270">
        <f>'[38]RER Summary'!$M$53</f>
        <v>71215.520000000004</v>
      </c>
      <c r="F13" s="128"/>
    </row>
    <row r="14" spans="1:6" s="108" customFormat="1" ht="19.5" customHeight="1" thickBot="1" x14ac:dyDescent="0.25">
      <c r="A14" s="313" t="s">
        <v>162</v>
      </c>
      <c r="B14" s="314"/>
      <c r="C14" s="314"/>
      <c r="D14" s="315"/>
      <c r="E14" s="270">
        <f>'[38]RER Summary'!$M$54</f>
        <v>63876.2</v>
      </c>
      <c r="F14" s="128"/>
    </row>
    <row r="15" spans="1:6" ht="21.6" customHeight="1" thickBot="1" x14ac:dyDescent="0.25">
      <c r="A15" s="155" t="s">
        <v>22</v>
      </c>
      <c r="B15" s="156"/>
      <c r="C15" s="156"/>
      <c r="D15" s="278"/>
      <c r="E15" s="292">
        <f>SUM(E12:E14)</f>
        <v>3369587.8200000003</v>
      </c>
      <c r="F15" s="97"/>
    </row>
    <row r="16" spans="1:6" ht="15" x14ac:dyDescent="0.2">
      <c r="A16" s="97"/>
      <c r="B16" s="97"/>
      <c r="C16" s="97"/>
      <c r="D16" s="97"/>
      <c r="E16" s="97"/>
      <c r="F16" s="97"/>
    </row>
    <row r="17" spans="1:6" ht="15" x14ac:dyDescent="0.2">
      <c r="A17" s="97"/>
      <c r="B17" s="97"/>
      <c r="C17" s="97"/>
      <c r="D17" s="97"/>
      <c r="E17" s="97"/>
      <c r="F17" s="97"/>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11/09/2016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3"/>
  <sheetViews>
    <sheetView workbookViewId="0">
      <selection activeCell="D8" sqref="D8"/>
    </sheetView>
  </sheetViews>
  <sheetFormatPr defaultColWidth="0" defaultRowHeight="15" zeroHeight="1" x14ac:dyDescent="0.2"/>
  <cols>
    <col min="1" max="1" width="3.7109375" style="97" customWidth="1"/>
    <col min="2" max="3" width="3.5703125" style="97" customWidth="1"/>
    <col min="4" max="4" width="23.140625" style="97" customWidth="1"/>
    <col min="5" max="5" width="36" style="97" customWidth="1"/>
    <col min="6" max="6" width="46.28515625" style="97" customWidth="1"/>
    <col min="7" max="7" width="8.85546875" style="97" customWidth="1"/>
    <col min="8" max="16384" width="0" style="97" hidden="1"/>
  </cols>
  <sheetData>
    <row r="1" spans="1:6" ht="19.899999999999999" customHeight="1" x14ac:dyDescent="0.25">
      <c r="A1" s="318" t="s">
        <v>194</v>
      </c>
      <c r="B1" s="298"/>
      <c r="C1" s="298"/>
      <c r="D1" s="298"/>
      <c r="E1" s="298"/>
      <c r="F1" s="299"/>
    </row>
    <row r="2" spans="1:6" ht="19.899999999999999" customHeight="1" x14ac:dyDescent="0.25">
      <c r="A2" s="319" t="s">
        <v>191</v>
      </c>
      <c r="B2" s="320"/>
      <c r="C2" s="320"/>
      <c r="D2" s="320"/>
      <c r="E2" s="320"/>
      <c r="F2" s="321"/>
    </row>
    <row r="3" spans="1:6" ht="19.899999999999999" customHeight="1" thickBot="1" x14ac:dyDescent="0.3">
      <c r="A3" s="319" t="s">
        <v>192</v>
      </c>
      <c r="B3" s="320"/>
      <c r="C3" s="320"/>
      <c r="D3" s="320"/>
      <c r="E3" s="320"/>
      <c r="F3" s="321"/>
    </row>
    <row r="4" spans="1:6" ht="20.100000000000001" customHeight="1" thickBot="1" x14ac:dyDescent="0.3">
      <c r="A4" s="267" t="s">
        <v>8</v>
      </c>
      <c r="B4" s="255"/>
      <c r="C4" s="322"/>
      <c r="D4" s="179" t="str">
        <f>'CSS '!B4:B4</f>
        <v>San Francisco County</v>
      </c>
      <c r="E4" s="275" t="s">
        <v>9</v>
      </c>
      <c r="F4" s="276">
        <f>'CSS '!G4</f>
        <v>42914</v>
      </c>
    </row>
    <row r="5" spans="1:6" s="83" customFormat="1" ht="40.15" customHeight="1" x14ac:dyDescent="0.25">
      <c r="A5" s="323" t="s">
        <v>63</v>
      </c>
      <c r="B5" s="324"/>
      <c r="C5" s="324"/>
      <c r="D5" s="324"/>
      <c r="E5" s="325"/>
      <c r="F5" s="326" t="s">
        <v>215</v>
      </c>
    </row>
    <row r="6" spans="1:6" ht="15" customHeight="1" x14ac:dyDescent="0.25">
      <c r="A6" s="264" t="s">
        <v>32</v>
      </c>
      <c r="B6" s="249"/>
      <c r="C6" s="249"/>
      <c r="D6" s="249"/>
      <c r="E6" s="249"/>
      <c r="F6" s="327"/>
    </row>
    <row r="7" spans="1:6" ht="15" customHeight="1" x14ac:dyDescent="0.2">
      <c r="A7" s="147">
        <v>1</v>
      </c>
      <c r="B7" s="305" t="s">
        <v>261</v>
      </c>
      <c r="C7" s="305"/>
      <c r="D7" s="305"/>
      <c r="E7" s="306"/>
      <c r="F7" s="270">
        <f>VLOOKUP(B7,'[38]RER Summary'!$A$4:$M$54,13,FALSE)</f>
        <v>0</v>
      </c>
    </row>
    <row r="8" spans="1:6" ht="15" customHeight="1" x14ac:dyDescent="0.2">
      <c r="A8" s="147">
        <v>2</v>
      </c>
      <c r="B8" s="305" t="s">
        <v>262</v>
      </c>
      <c r="C8" s="305"/>
      <c r="D8" s="305"/>
      <c r="E8" s="306"/>
      <c r="F8" s="270">
        <f>VLOOKUP(B8,'[38]RER Summary'!$A$4:$M$54,13,FALSE)</f>
        <v>1048651.04</v>
      </c>
    </row>
    <row r="9" spans="1:6" ht="15" customHeight="1" x14ac:dyDescent="0.2">
      <c r="A9" s="147">
        <v>3</v>
      </c>
      <c r="B9" s="305"/>
      <c r="C9" s="305"/>
      <c r="D9" s="305"/>
      <c r="E9" s="306"/>
      <c r="F9" s="270"/>
    </row>
    <row r="10" spans="1:6" ht="15" customHeight="1" x14ac:dyDescent="0.2">
      <c r="A10" s="147">
        <v>4</v>
      </c>
      <c r="B10" s="305"/>
      <c r="C10" s="305"/>
      <c r="D10" s="305"/>
      <c r="E10" s="306"/>
      <c r="F10" s="270"/>
    </row>
    <row r="11" spans="1:6" ht="15" customHeight="1" x14ac:dyDescent="0.2">
      <c r="A11" s="147">
        <v>5</v>
      </c>
      <c r="B11" s="305"/>
      <c r="C11" s="305"/>
      <c r="D11" s="305"/>
      <c r="E11" s="306"/>
      <c r="F11" s="270"/>
    </row>
    <row r="12" spans="1:6" ht="15" customHeight="1" x14ac:dyDescent="0.2">
      <c r="A12" s="147">
        <v>6</v>
      </c>
      <c r="B12" s="305"/>
      <c r="C12" s="305"/>
      <c r="D12" s="305"/>
      <c r="E12" s="306"/>
      <c r="F12" s="270"/>
    </row>
    <row r="13" spans="1:6" ht="15" customHeight="1" x14ac:dyDescent="0.2">
      <c r="A13" s="147">
        <v>7</v>
      </c>
      <c r="B13" s="305"/>
      <c r="C13" s="305"/>
      <c r="D13" s="305"/>
      <c r="E13" s="306"/>
      <c r="F13" s="270"/>
    </row>
    <row r="14" spans="1:6" ht="15" customHeight="1" x14ac:dyDescent="0.2">
      <c r="A14" s="147">
        <v>8</v>
      </c>
      <c r="B14" s="305"/>
      <c r="C14" s="305"/>
      <c r="D14" s="305"/>
      <c r="E14" s="306"/>
      <c r="F14" s="270"/>
    </row>
    <row r="15" spans="1:6" ht="15" customHeight="1" x14ac:dyDescent="0.2">
      <c r="A15" s="147">
        <v>9</v>
      </c>
      <c r="B15" s="305"/>
      <c r="C15" s="305"/>
      <c r="D15" s="305"/>
      <c r="E15" s="306"/>
      <c r="F15" s="270"/>
    </row>
    <row r="16" spans="1:6" ht="15" customHeight="1" x14ac:dyDescent="0.2">
      <c r="A16" s="147">
        <v>10</v>
      </c>
      <c r="B16" s="305"/>
      <c r="C16" s="305"/>
      <c r="D16" s="305"/>
      <c r="E16" s="306"/>
      <c r="F16" s="270"/>
    </row>
    <row r="17" spans="1:6" ht="15" customHeight="1" x14ac:dyDescent="0.2">
      <c r="A17" s="147">
        <v>11</v>
      </c>
      <c r="B17" s="305"/>
      <c r="C17" s="305"/>
      <c r="D17" s="305"/>
      <c r="E17" s="306"/>
      <c r="F17" s="270"/>
    </row>
    <row r="18" spans="1:6" ht="15" customHeight="1" x14ac:dyDescent="0.2">
      <c r="A18" s="147">
        <v>12</v>
      </c>
      <c r="B18" s="305"/>
      <c r="C18" s="305"/>
      <c r="D18" s="305"/>
      <c r="E18" s="306"/>
      <c r="F18" s="270"/>
    </row>
    <row r="19" spans="1:6" ht="15" customHeight="1" x14ac:dyDescent="0.25">
      <c r="A19" s="264" t="s">
        <v>58</v>
      </c>
      <c r="B19" s="249"/>
      <c r="C19" s="249"/>
      <c r="D19" s="249"/>
      <c r="E19" s="328"/>
      <c r="F19" s="285">
        <f>SUM(F7:F18)</f>
        <v>1048651.04</v>
      </c>
    </row>
    <row r="20" spans="1:6" ht="15" customHeight="1" x14ac:dyDescent="0.25">
      <c r="A20" s="264" t="s">
        <v>29</v>
      </c>
      <c r="B20" s="249"/>
      <c r="C20" s="249"/>
      <c r="D20" s="249"/>
      <c r="E20" s="328"/>
      <c r="F20" s="285">
        <v>0</v>
      </c>
    </row>
    <row r="21" spans="1:6" ht="15" customHeight="1" x14ac:dyDescent="0.25">
      <c r="A21" s="329" t="s">
        <v>164</v>
      </c>
      <c r="B21" s="330"/>
      <c r="C21" s="330"/>
      <c r="D21" s="330"/>
      <c r="E21" s="331"/>
      <c r="F21" s="285">
        <v>0</v>
      </c>
    </row>
    <row r="22" spans="1:6" ht="15" customHeight="1" x14ac:dyDescent="0.25">
      <c r="A22" s="332" t="s">
        <v>30</v>
      </c>
      <c r="B22" s="333"/>
      <c r="C22" s="333"/>
      <c r="D22" s="333"/>
      <c r="E22" s="333"/>
      <c r="F22" s="334">
        <f>SUM(F19:F21)</f>
        <v>1048651.04</v>
      </c>
    </row>
    <row r="23" spans="1:6" ht="15" customHeight="1" x14ac:dyDescent="0.25">
      <c r="A23" s="335" t="s">
        <v>26</v>
      </c>
      <c r="B23" s="172"/>
      <c r="C23" s="172"/>
      <c r="D23" s="172"/>
      <c r="E23" s="172"/>
      <c r="F23" s="285"/>
    </row>
    <row r="24" spans="1:6" ht="15" customHeight="1" x14ac:dyDescent="0.2">
      <c r="A24" s="147">
        <v>1</v>
      </c>
      <c r="B24" s="316" t="s">
        <v>263</v>
      </c>
      <c r="C24" s="316"/>
      <c r="D24" s="316"/>
      <c r="E24" s="336"/>
      <c r="F24" s="317">
        <f>VLOOKUP(B24,'[38]RER Summary'!$A$4:$M$54,13,FALSE)</f>
        <v>76078.7</v>
      </c>
    </row>
    <row r="25" spans="1:6" ht="15" customHeight="1" x14ac:dyDescent="0.2">
      <c r="A25" s="147">
        <v>2</v>
      </c>
      <c r="B25" s="316" t="s">
        <v>264</v>
      </c>
      <c r="C25" s="316"/>
      <c r="D25" s="316"/>
      <c r="E25" s="336"/>
      <c r="F25" s="317">
        <f>VLOOKUP(B25,'[38]RER Summary'!$A$4:$M$54,13,FALSE)</f>
        <v>939697.37000000011</v>
      </c>
    </row>
    <row r="26" spans="1:6" ht="15" customHeight="1" x14ac:dyDescent="0.2">
      <c r="A26" s="147">
        <v>3</v>
      </c>
      <c r="B26" s="316" t="s">
        <v>265</v>
      </c>
      <c r="C26" s="316"/>
      <c r="D26" s="316"/>
      <c r="E26" s="336"/>
      <c r="F26" s="317">
        <f>VLOOKUP(B26,'[38]RER Summary'!$A$4:$M$54,13,FALSE)</f>
        <v>225629.72</v>
      </c>
    </row>
    <row r="27" spans="1:6" ht="15" customHeight="1" x14ac:dyDescent="0.2">
      <c r="A27" s="147">
        <v>4</v>
      </c>
      <c r="B27" s="316"/>
      <c r="C27" s="316"/>
      <c r="D27" s="316"/>
      <c r="E27" s="336"/>
      <c r="F27" s="317"/>
    </row>
    <row r="28" spans="1:6" ht="15" customHeight="1" x14ac:dyDescent="0.2">
      <c r="A28" s="147">
        <v>5</v>
      </c>
      <c r="B28" s="316"/>
      <c r="C28" s="316"/>
      <c r="D28" s="316"/>
      <c r="E28" s="336"/>
      <c r="F28" s="317"/>
    </row>
    <row r="29" spans="1:6" ht="15" customHeight="1" x14ac:dyDescent="0.2">
      <c r="A29" s="147">
        <v>6</v>
      </c>
      <c r="B29" s="316"/>
      <c r="C29" s="316"/>
      <c r="D29" s="316"/>
      <c r="E29" s="336"/>
      <c r="F29" s="317"/>
    </row>
    <row r="30" spans="1:6" ht="15" customHeight="1" x14ac:dyDescent="0.2">
      <c r="A30" s="147">
        <v>7</v>
      </c>
      <c r="B30" s="305"/>
      <c r="C30" s="305"/>
      <c r="D30" s="305"/>
      <c r="E30" s="306"/>
      <c r="F30" s="317"/>
    </row>
    <row r="31" spans="1:6" ht="15" customHeight="1" x14ac:dyDescent="0.2">
      <c r="A31" s="147">
        <v>8</v>
      </c>
      <c r="B31" s="305"/>
      <c r="C31" s="305"/>
      <c r="D31" s="305"/>
      <c r="E31" s="306"/>
      <c r="F31" s="317"/>
    </row>
    <row r="32" spans="1:6" ht="15" customHeight="1" x14ac:dyDescent="0.2">
      <c r="A32" s="147">
        <v>9</v>
      </c>
      <c r="B32" s="305"/>
      <c r="C32" s="305"/>
      <c r="D32" s="305"/>
      <c r="E32" s="306"/>
      <c r="F32" s="317"/>
    </row>
    <row r="33" spans="1:6" ht="15" customHeight="1" x14ac:dyDescent="0.2">
      <c r="A33" s="147">
        <v>10</v>
      </c>
      <c r="B33" s="305"/>
      <c r="C33" s="305"/>
      <c r="D33" s="305"/>
      <c r="E33" s="306"/>
      <c r="F33" s="317"/>
    </row>
    <row r="34" spans="1:6" ht="15" customHeight="1" x14ac:dyDescent="0.2">
      <c r="A34" s="147">
        <v>11</v>
      </c>
      <c r="B34" s="305"/>
      <c r="C34" s="305"/>
      <c r="D34" s="305"/>
      <c r="E34" s="306"/>
      <c r="F34" s="317"/>
    </row>
    <row r="35" spans="1:6" s="128" customFormat="1" ht="15" customHeight="1" x14ac:dyDescent="0.2">
      <c r="A35" s="147">
        <v>12</v>
      </c>
      <c r="B35" s="305"/>
      <c r="C35" s="305"/>
      <c r="D35" s="305"/>
      <c r="E35" s="306"/>
      <c r="F35" s="317"/>
    </row>
    <row r="36" spans="1:6" s="128" customFormat="1" ht="15" customHeight="1" x14ac:dyDescent="0.2">
      <c r="A36" s="147">
        <v>13</v>
      </c>
      <c r="B36" s="305"/>
      <c r="C36" s="305"/>
      <c r="D36" s="305"/>
      <c r="E36" s="306"/>
      <c r="F36" s="317"/>
    </row>
    <row r="37" spans="1:6" s="128" customFormat="1" ht="15" customHeight="1" x14ac:dyDescent="0.25">
      <c r="A37" s="188" t="s">
        <v>59</v>
      </c>
      <c r="B37" s="337"/>
      <c r="C37" s="337"/>
      <c r="D37" s="337"/>
      <c r="E37" s="337"/>
      <c r="F37" s="285">
        <f>SUM(F24:F36)</f>
        <v>1241405.79</v>
      </c>
    </row>
    <row r="38" spans="1:6" ht="15" customHeight="1" x14ac:dyDescent="0.25">
      <c r="A38" s="188" t="s">
        <v>33</v>
      </c>
      <c r="B38" s="337"/>
      <c r="C38" s="337"/>
      <c r="D38" s="337"/>
      <c r="E38" s="337"/>
      <c r="F38" s="285">
        <f>'[38]RER Summary'!$I$41</f>
        <v>177835.96999999997</v>
      </c>
    </row>
    <row r="39" spans="1:6" ht="15" customHeight="1" x14ac:dyDescent="0.25">
      <c r="A39" s="338" t="s">
        <v>163</v>
      </c>
      <c r="B39" s="339"/>
      <c r="C39" s="339"/>
      <c r="D39" s="339"/>
      <c r="E39" s="339"/>
      <c r="F39" s="285">
        <v>0</v>
      </c>
    </row>
    <row r="40" spans="1:6" ht="15" customHeight="1" x14ac:dyDescent="0.25">
      <c r="A40" s="188" t="s">
        <v>34</v>
      </c>
      <c r="B40" s="337"/>
      <c r="C40" s="337"/>
      <c r="D40" s="337"/>
      <c r="E40" s="337"/>
      <c r="F40" s="285">
        <f>SUM(F37:F39)</f>
        <v>1419241.76</v>
      </c>
    </row>
    <row r="41" spans="1:6" ht="16.5" thickBot="1" x14ac:dyDescent="0.3">
      <c r="A41" s="340" t="s">
        <v>25</v>
      </c>
      <c r="B41" s="341"/>
      <c r="C41" s="341"/>
      <c r="D41" s="341"/>
      <c r="E41" s="342"/>
      <c r="F41" s="296">
        <f>F22+F40</f>
        <v>2467892.7999999998</v>
      </c>
    </row>
    <row r="42" spans="1:6" x14ac:dyDescent="0.2"/>
    <row r="43" spans="1:6" x14ac:dyDescent="0.2"/>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11/09/2016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workbookViewId="0">
      <selection activeCell="C7" sqref="C7"/>
    </sheetView>
  </sheetViews>
  <sheetFormatPr defaultColWidth="0" defaultRowHeight="12.75" zeroHeight="1" x14ac:dyDescent="0.2"/>
  <cols>
    <col min="1" max="1" width="12.28515625" style="98" customWidth="1"/>
    <col min="2" max="2" width="23.85546875" style="98" customWidth="1"/>
    <col min="3" max="3" width="46.28515625" style="98" customWidth="1"/>
    <col min="4" max="4" width="26.28515625" style="98" customWidth="1"/>
    <col min="5" max="5" width="8.85546875" style="98" customWidth="1"/>
    <col min="6" max="16384" width="0" style="98" hidden="1"/>
  </cols>
  <sheetData>
    <row r="1" spans="1:5" ht="19.899999999999999" customHeight="1" x14ac:dyDescent="0.25">
      <c r="A1" s="297" t="s">
        <v>195</v>
      </c>
      <c r="B1" s="298"/>
      <c r="C1" s="298"/>
      <c r="D1" s="102"/>
      <c r="E1" s="97"/>
    </row>
    <row r="2" spans="1:5" ht="19.899999999999999" customHeight="1" x14ac:dyDescent="0.25">
      <c r="A2" s="319" t="s">
        <v>196</v>
      </c>
      <c r="B2" s="320"/>
      <c r="C2" s="320"/>
      <c r="D2" s="99"/>
      <c r="E2" s="97"/>
    </row>
    <row r="3" spans="1:5" ht="19.899999999999999" customHeight="1" thickBot="1" x14ac:dyDescent="0.3">
      <c r="A3" s="319" t="s">
        <v>197</v>
      </c>
      <c r="B3" s="320"/>
      <c r="C3" s="320"/>
      <c r="D3" s="99"/>
      <c r="E3" s="97"/>
    </row>
    <row r="4" spans="1:5" ht="15" customHeight="1" thickBot="1" x14ac:dyDescent="0.3">
      <c r="A4" s="267" t="s">
        <v>8</v>
      </c>
      <c r="B4" s="179" t="str">
        <f>'CSS '!B4:B4</f>
        <v>San Francisco County</v>
      </c>
      <c r="C4" s="275" t="s">
        <v>9</v>
      </c>
      <c r="D4" s="358">
        <f>'CSS '!E4</f>
        <v>0</v>
      </c>
      <c r="E4" s="97"/>
    </row>
    <row r="5" spans="1:5" s="100" customFormat="1" ht="30" customHeight="1" x14ac:dyDescent="0.25">
      <c r="A5" s="260"/>
      <c r="B5" s="359"/>
      <c r="C5" s="360"/>
      <c r="D5" s="361" t="s">
        <v>216</v>
      </c>
      <c r="E5" s="343"/>
    </row>
    <row r="6" spans="1:5" s="100" customFormat="1" ht="15.75" x14ac:dyDescent="0.25">
      <c r="A6" s="204"/>
      <c r="B6" s="210"/>
      <c r="C6" s="210"/>
      <c r="D6" s="344"/>
      <c r="E6" s="343"/>
    </row>
    <row r="7" spans="1:5" ht="27" customHeight="1" x14ac:dyDescent="0.2">
      <c r="A7" s="362" t="s">
        <v>217</v>
      </c>
      <c r="B7" s="363"/>
      <c r="C7" s="364"/>
      <c r="D7" s="345"/>
      <c r="E7" s="97"/>
    </row>
    <row r="8" spans="1:5" ht="15" x14ac:dyDescent="0.2">
      <c r="A8" s="346"/>
      <c r="B8" s="347"/>
      <c r="C8" s="347"/>
      <c r="D8" s="348"/>
      <c r="E8" s="97"/>
    </row>
    <row r="9" spans="1:5" ht="26.65" customHeight="1" x14ac:dyDescent="0.2">
      <c r="A9" s="365" t="s">
        <v>129</v>
      </c>
      <c r="B9" s="366"/>
      <c r="C9" s="367"/>
      <c r="D9" s="349"/>
      <c r="E9" s="97"/>
    </row>
    <row r="10" spans="1:5" ht="15" x14ac:dyDescent="0.2">
      <c r="A10" s="350"/>
      <c r="B10" s="351"/>
      <c r="C10" s="351"/>
      <c r="D10" s="352"/>
      <c r="E10" s="97"/>
    </row>
    <row r="11" spans="1:5" ht="25.15" customHeight="1" thickBot="1" x14ac:dyDescent="0.25">
      <c r="A11" s="368" t="s">
        <v>130</v>
      </c>
      <c r="B11" s="369"/>
      <c r="C11" s="370"/>
      <c r="D11" s="353"/>
      <c r="E11" s="97"/>
    </row>
    <row r="12" spans="1:5" ht="15" x14ac:dyDescent="0.2">
      <c r="A12" s="354"/>
      <c r="B12" s="354"/>
      <c r="C12" s="354"/>
      <c r="D12" s="354"/>
      <c r="E12" s="128"/>
    </row>
    <row r="13" spans="1:5" ht="15.75" x14ac:dyDescent="0.25">
      <c r="A13" s="355"/>
      <c r="B13" s="355"/>
      <c r="C13" s="355"/>
      <c r="D13" s="356"/>
      <c r="E13" s="128"/>
    </row>
    <row r="14" spans="1:5" hidden="1" x14ac:dyDescent="0.2">
      <c r="A14" s="103"/>
      <c r="B14" s="103"/>
      <c r="C14" s="103"/>
      <c r="D14" s="103"/>
      <c r="E14" s="104"/>
    </row>
    <row r="15" spans="1:5" hidden="1" x14ac:dyDescent="0.2">
      <c r="A15" s="105"/>
      <c r="B15" s="105"/>
      <c r="C15" s="105"/>
      <c r="D15" s="106"/>
      <c r="E15" s="104"/>
    </row>
    <row r="16" spans="1:5" hidden="1" x14ac:dyDescent="0.2">
      <c r="A16" s="103"/>
      <c r="B16" s="103"/>
      <c r="C16" s="103"/>
      <c r="D16" s="103"/>
      <c r="E16" s="104"/>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11/09/2016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9"/>
  <sheetViews>
    <sheetView workbookViewId="0"/>
  </sheetViews>
  <sheetFormatPr defaultColWidth="0" defaultRowHeight="12.75" zeroHeight="1" x14ac:dyDescent="0.2"/>
  <cols>
    <col min="1" max="1" width="10" style="98" customWidth="1"/>
    <col min="2" max="2" width="26.7109375" style="98" customWidth="1"/>
    <col min="3" max="3" width="13.140625" style="98" customWidth="1"/>
    <col min="4" max="4" width="38" style="98" customWidth="1"/>
    <col min="5" max="5" width="8.85546875" style="98" customWidth="1"/>
    <col min="6" max="16384" width="0" style="98" hidden="1"/>
  </cols>
  <sheetData>
    <row r="1" spans="1:5" ht="19.899999999999999" customHeight="1" x14ac:dyDescent="0.2">
      <c r="A1" s="373" t="s">
        <v>198</v>
      </c>
      <c r="B1" s="374"/>
      <c r="C1" s="374"/>
      <c r="D1" s="375"/>
      <c r="E1" s="97"/>
    </row>
    <row r="2" spans="1:5" ht="19.899999999999999" customHeight="1" x14ac:dyDescent="0.25">
      <c r="A2" s="319" t="s">
        <v>199</v>
      </c>
      <c r="B2" s="320"/>
      <c r="C2" s="320"/>
      <c r="D2" s="357"/>
      <c r="E2" s="97"/>
    </row>
    <row r="3" spans="1:5" ht="19.899999999999999" customHeight="1" thickBot="1" x14ac:dyDescent="0.3">
      <c r="A3" s="319" t="s">
        <v>200</v>
      </c>
      <c r="B3" s="320"/>
      <c r="C3" s="320"/>
      <c r="D3" s="357"/>
      <c r="E3" s="97"/>
    </row>
    <row r="4" spans="1:5" ht="15" customHeight="1" thickBot="1" x14ac:dyDescent="0.3">
      <c r="A4" s="376" t="s">
        <v>8</v>
      </c>
      <c r="B4" s="226" t="str">
        <f>'CSS '!B4:B4</f>
        <v>San Francisco County</v>
      </c>
      <c r="C4" s="275" t="s">
        <v>9</v>
      </c>
      <c r="D4" s="358">
        <f>'CSS '!G4</f>
        <v>42914</v>
      </c>
      <c r="E4" s="97"/>
    </row>
    <row r="5" spans="1:5" s="100" customFormat="1" ht="30" customHeight="1" x14ac:dyDescent="0.25">
      <c r="A5" s="377"/>
      <c r="B5" s="333"/>
      <c r="C5" s="378"/>
      <c r="D5" s="379" t="s">
        <v>224</v>
      </c>
      <c r="E5" s="343"/>
    </row>
    <row r="6" spans="1:5" ht="26.1" customHeight="1" x14ac:dyDescent="0.2">
      <c r="A6" s="380" t="s">
        <v>156</v>
      </c>
      <c r="B6" s="381"/>
      <c r="C6" s="382"/>
      <c r="D6" s="349">
        <v>0</v>
      </c>
      <c r="E6" s="97"/>
    </row>
    <row r="7" spans="1:5" ht="15.75" thickBot="1" x14ac:dyDescent="0.25">
      <c r="A7" s="101"/>
      <c r="B7" s="371"/>
      <c r="C7" s="371"/>
      <c r="D7" s="372"/>
      <c r="E7" s="97"/>
    </row>
    <row r="8" spans="1:5" ht="15" x14ac:dyDescent="0.2">
      <c r="B8" s="97"/>
      <c r="C8" s="97"/>
      <c r="D8" s="97"/>
      <c r="E8" s="97"/>
    </row>
    <row r="9" spans="1:5" ht="15" x14ac:dyDescent="0.2">
      <c r="B9" s="97"/>
      <c r="C9" s="97"/>
      <c r="D9" s="97"/>
      <c r="E9" s="97"/>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11/09/2016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2" zoomScale="70" zoomScaleNormal="70" workbookViewId="0">
      <selection activeCell="A50" sqref="A50"/>
    </sheetView>
  </sheetViews>
  <sheetFormatPr defaultColWidth="0" defaultRowHeight="15" zeroHeight="1" x14ac:dyDescent="0.2"/>
  <cols>
    <col min="1" max="1" width="3.42578125" style="97" customWidth="1"/>
    <col min="2" max="2" width="5.42578125" style="97" customWidth="1"/>
    <col min="3" max="5" width="3.5703125" style="97" customWidth="1"/>
    <col min="6" max="6" width="55" style="97" customWidth="1"/>
    <col min="7" max="7" width="17.28515625" style="97" customWidth="1"/>
    <col min="8" max="8" width="18.85546875" style="97" customWidth="1"/>
    <col min="9" max="9" width="17.140625" style="97" customWidth="1"/>
    <col min="10" max="10" width="18.85546875" style="97" customWidth="1"/>
    <col min="11" max="11" width="20.28515625" style="97" customWidth="1"/>
    <col min="12" max="12" width="14.5703125" style="97" customWidth="1"/>
    <col min="13" max="13" width="19.28515625" style="97" customWidth="1"/>
    <col min="14" max="14" width="18.42578125" style="97" customWidth="1"/>
    <col min="15" max="15" width="23.5703125" style="97" customWidth="1"/>
    <col min="16" max="16" width="14.5703125" style="97" customWidth="1"/>
    <col min="17" max="17" width="16" style="97" customWidth="1"/>
    <col min="18" max="18" width="18.140625" style="97" customWidth="1"/>
    <col min="19" max="19" width="13" style="97" customWidth="1"/>
    <col min="20" max="20" width="11.5703125" style="82" hidden="1" customWidth="1"/>
    <col min="21" max="16384" width="0" style="82" hidden="1"/>
  </cols>
  <sheetData>
    <row r="1" spans="1:19" ht="15.75" x14ac:dyDescent="0.25">
      <c r="A1" s="200" t="s">
        <v>206</v>
      </c>
      <c r="B1" s="200"/>
      <c r="C1" s="200"/>
      <c r="D1" s="81"/>
      <c r="E1" s="81"/>
      <c r="F1" s="81"/>
      <c r="G1" s="81"/>
      <c r="H1" s="200"/>
      <c r="I1" s="200"/>
      <c r="J1" s="200"/>
      <c r="K1" s="200"/>
      <c r="L1" s="200"/>
      <c r="M1" s="200"/>
      <c r="N1" s="200"/>
      <c r="O1" s="81"/>
      <c r="P1" s="81"/>
      <c r="Q1" s="81"/>
      <c r="R1" s="81"/>
    </row>
    <row r="2" spans="1:19" ht="15.75" x14ac:dyDescent="0.25">
      <c r="A2" s="200" t="s">
        <v>207</v>
      </c>
      <c r="B2" s="200"/>
      <c r="C2" s="200"/>
      <c r="D2" s="81"/>
      <c r="E2" s="81"/>
      <c r="F2" s="81"/>
      <c r="G2" s="81"/>
      <c r="H2" s="200"/>
      <c r="I2" s="200"/>
      <c r="J2" s="200"/>
      <c r="K2" s="200"/>
      <c r="L2" s="200"/>
      <c r="M2" s="200"/>
      <c r="N2" s="200"/>
      <c r="O2" s="81"/>
      <c r="P2" s="81"/>
      <c r="Q2" s="81"/>
      <c r="R2" s="81"/>
    </row>
    <row r="3" spans="1:19" ht="15.75" x14ac:dyDescent="0.25">
      <c r="A3" s="578" t="s">
        <v>107</v>
      </c>
      <c r="B3" s="579"/>
      <c r="C3" s="580"/>
      <c r="D3" s="83"/>
      <c r="E3" s="83"/>
      <c r="F3" s="83"/>
      <c r="G3" s="83"/>
      <c r="H3" s="83"/>
      <c r="I3" s="83"/>
      <c r="J3" s="83"/>
      <c r="K3" s="83"/>
      <c r="L3" s="83"/>
      <c r="M3" s="83"/>
      <c r="N3" s="83"/>
      <c r="O3" s="83"/>
      <c r="P3" s="83"/>
      <c r="Q3" s="83"/>
      <c r="R3" s="83"/>
    </row>
    <row r="4" spans="1:19" s="86" customFormat="1" ht="15.75" x14ac:dyDescent="0.25">
      <c r="A4" s="407"/>
      <c r="B4" s="84"/>
      <c r="C4" s="84"/>
      <c r="D4" s="84"/>
      <c r="E4" s="84"/>
      <c r="F4" s="84"/>
      <c r="G4" s="85"/>
      <c r="H4" s="85"/>
      <c r="I4" s="85"/>
      <c r="J4" s="85"/>
      <c r="K4" s="85"/>
      <c r="L4" s="85"/>
      <c r="M4" s="85"/>
      <c r="N4" s="85"/>
      <c r="O4" s="85"/>
      <c r="P4" s="85"/>
      <c r="Q4" s="85"/>
      <c r="R4" s="85"/>
      <c r="S4" s="408"/>
    </row>
    <row r="5" spans="1:19" ht="15.75" x14ac:dyDescent="0.25">
      <c r="A5" s="581" t="s">
        <v>106</v>
      </c>
      <c r="B5" s="494"/>
      <c r="C5" s="494"/>
      <c r="D5" s="494" t="str">
        <f>'CSS '!B4</f>
        <v>San Francisco County</v>
      </c>
      <c r="E5" s="494"/>
      <c r="F5" s="494"/>
      <c r="K5" s="409"/>
      <c r="P5" s="582" t="s">
        <v>73</v>
      </c>
      <c r="Q5" s="582">
        <f>'CSS '!G4</f>
        <v>42914</v>
      </c>
      <c r="R5" s="410"/>
    </row>
    <row r="6" spans="1:19" ht="15" customHeight="1" thickBot="1" x14ac:dyDescent="0.3">
      <c r="A6" s="109"/>
      <c r="B6" s="109"/>
      <c r="C6" s="109"/>
      <c r="D6" s="109"/>
      <c r="E6" s="109"/>
      <c r="F6" s="109"/>
      <c r="G6" s="142"/>
      <c r="H6" s="142"/>
      <c r="I6" s="142"/>
      <c r="J6" s="142"/>
      <c r="K6" s="142"/>
      <c r="L6" s="142"/>
      <c r="M6" s="142"/>
      <c r="N6" s="94"/>
      <c r="O6" s="94"/>
      <c r="P6" s="411"/>
      <c r="Q6" s="411"/>
      <c r="R6" s="411"/>
    </row>
    <row r="7" spans="1:19" ht="31.5" customHeight="1" thickBot="1" x14ac:dyDescent="0.25">
      <c r="A7" s="583" t="s">
        <v>208</v>
      </c>
      <c r="B7" s="584"/>
      <c r="C7" s="584"/>
      <c r="D7" s="584"/>
      <c r="E7" s="584"/>
      <c r="F7" s="585"/>
      <c r="G7" s="412" t="s">
        <v>132</v>
      </c>
    </row>
    <row r="8" spans="1:19" ht="15" customHeight="1" thickBot="1" x14ac:dyDescent="0.25">
      <c r="A8" s="294"/>
      <c r="B8" s="294"/>
      <c r="C8" s="294"/>
      <c r="D8" s="294"/>
      <c r="E8" s="294"/>
      <c r="F8" s="294"/>
    </row>
    <row r="9" spans="1:19" s="87" customFormat="1" ht="15" customHeight="1" x14ac:dyDescent="0.25">
      <c r="A9" s="118"/>
      <c r="B9" s="119"/>
      <c r="C9" s="119"/>
      <c r="D9" s="119"/>
      <c r="E9" s="119"/>
      <c r="F9" s="203"/>
      <c r="G9" s="473" t="s">
        <v>0</v>
      </c>
      <c r="H9" s="473" t="s">
        <v>1</v>
      </c>
      <c r="I9" s="473" t="s">
        <v>7</v>
      </c>
      <c r="J9" s="473" t="s">
        <v>2</v>
      </c>
      <c r="K9" s="473" t="s">
        <v>3</v>
      </c>
      <c r="L9" s="473" t="s">
        <v>4</v>
      </c>
      <c r="M9" s="473" t="s">
        <v>5</v>
      </c>
      <c r="N9" s="473" t="s">
        <v>6</v>
      </c>
      <c r="O9" s="473" t="s">
        <v>38</v>
      </c>
      <c r="P9" s="474" t="s">
        <v>101</v>
      </c>
      <c r="Q9" s="474" t="s">
        <v>55</v>
      </c>
      <c r="R9" s="475" t="s">
        <v>167</v>
      </c>
      <c r="S9" s="83"/>
    </row>
    <row r="10" spans="1:19" s="87" customFormat="1" ht="68.25" customHeight="1" thickBot="1" x14ac:dyDescent="0.3">
      <c r="A10" s="413"/>
      <c r="B10" s="414"/>
      <c r="C10" s="414"/>
      <c r="D10" s="414"/>
      <c r="E10" s="414"/>
      <c r="F10" s="476" t="s">
        <v>128</v>
      </c>
      <c r="G10" s="477" t="s">
        <v>210</v>
      </c>
      <c r="H10" s="477" t="s">
        <v>211</v>
      </c>
      <c r="I10" s="477" t="s">
        <v>35</v>
      </c>
      <c r="J10" s="477" t="s">
        <v>212</v>
      </c>
      <c r="K10" s="477" t="s">
        <v>15</v>
      </c>
      <c r="L10" s="477" t="s">
        <v>27</v>
      </c>
      <c r="M10" s="477" t="s">
        <v>28</v>
      </c>
      <c r="N10" s="477" t="s">
        <v>62</v>
      </c>
      <c r="O10" s="478" t="s">
        <v>156</v>
      </c>
      <c r="P10" s="479" t="s">
        <v>49</v>
      </c>
      <c r="Q10" s="477" t="s">
        <v>76</v>
      </c>
      <c r="R10" s="480" t="s">
        <v>16</v>
      </c>
      <c r="S10" s="83"/>
    </row>
    <row r="11" spans="1:19" ht="25.15" customHeight="1" thickTop="1" x14ac:dyDescent="0.25">
      <c r="A11" s="481">
        <v>1</v>
      </c>
      <c r="B11" s="482" t="s">
        <v>290</v>
      </c>
      <c r="C11" s="273"/>
      <c r="D11" s="273"/>
      <c r="E11" s="273"/>
      <c r="F11" s="483"/>
      <c r="G11" s="415"/>
      <c r="H11" s="415"/>
      <c r="I11" s="415"/>
      <c r="J11" s="415"/>
      <c r="K11" s="415"/>
      <c r="L11" s="415"/>
      <c r="M11" s="415"/>
      <c r="N11" s="415"/>
      <c r="O11" s="415"/>
      <c r="P11" s="416"/>
      <c r="Q11" s="416"/>
      <c r="R11" s="417"/>
    </row>
    <row r="12" spans="1:19" ht="25.15" customHeight="1" x14ac:dyDescent="0.25">
      <c r="A12" s="484"/>
      <c r="B12" s="485"/>
      <c r="C12" s="149" t="s">
        <v>39</v>
      </c>
      <c r="D12" s="305" t="s">
        <v>60</v>
      </c>
      <c r="E12" s="305"/>
      <c r="F12" s="306"/>
      <c r="G12" s="415"/>
      <c r="H12" s="415"/>
      <c r="I12" s="415"/>
      <c r="J12" s="415"/>
      <c r="K12" s="415"/>
      <c r="L12" s="415"/>
      <c r="M12" s="415"/>
      <c r="N12" s="415"/>
      <c r="O12" s="415"/>
      <c r="P12" s="418">
        <v>1011172</v>
      </c>
      <c r="Q12" s="486"/>
      <c r="R12" s="487">
        <f>P12</f>
        <v>1011172</v>
      </c>
    </row>
    <row r="13" spans="1:19" ht="25.15" customHeight="1" x14ac:dyDescent="0.25">
      <c r="A13" s="484"/>
      <c r="B13" s="485"/>
      <c r="C13" s="149" t="s">
        <v>40</v>
      </c>
      <c r="D13" s="305" t="s">
        <v>74</v>
      </c>
      <c r="E13" s="305"/>
      <c r="F13" s="306"/>
      <c r="G13" s="415"/>
      <c r="H13" s="415"/>
      <c r="I13" s="415"/>
      <c r="J13" s="420"/>
      <c r="K13" s="415"/>
      <c r="L13" s="415"/>
      <c r="M13" s="415"/>
      <c r="N13" s="415"/>
      <c r="O13" s="415"/>
      <c r="P13" s="416"/>
      <c r="Q13" s="416"/>
      <c r="R13" s="487">
        <f>J13</f>
        <v>0</v>
      </c>
    </row>
    <row r="14" spans="1:19" ht="25.15" customHeight="1" x14ac:dyDescent="0.25">
      <c r="A14" s="484"/>
      <c r="B14" s="485"/>
      <c r="C14" s="488" t="s">
        <v>41</v>
      </c>
      <c r="D14" s="305" t="s">
        <v>64</v>
      </c>
      <c r="E14" s="305"/>
      <c r="F14" s="306"/>
      <c r="G14" s="415"/>
      <c r="H14" s="415"/>
      <c r="I14" s="415"/>
      <c r="J14" s="420"/>
      <c r="K14" s="420"/>
      <c r="L14" s="415"/>
      <c r="M14" s="415"/>
      <c r="N14" s="415"/>
      <c r="O14" s="415"/>
      <c r="P14" s="416"/>
      <c r="Q14" s="416"/>
      <c r="R14" s="487">
        <f>SUM(J14:K14)</f>
        <v>0</v>
      </c>
    </row>
    <row r="15" spans="1:19" s="86" customFormat="1" ht="25.15" customHeight="1" x14ac:dyDescent="0.2">
      <c r="A15" s="489"/>
      <c r="B15" s="490"/>
      <c r="C15" s="488" t="s">
        <v>42</v>
      </c>
      <c r="D15" s="491" t="s">
        <v>65</v>
      </c>
      <c r="E15" s="491"/>
      <c r="F15" s="492"/>
      <c r="G15" s="422"/>
      <c r="H15" s="422"/>
      <c r="I15" s="422"/>
      <c r="J15" s="422"/>
      <c r="K15" s="422"/>
      <c r="L15" s="422"/>
      <c r="M15" s="422"/>
      <c r="N15" s="422"/>
      <c r="O15" s="415"/>
      <c r="P15" s="419"/>
      <c r="Q15" s="419"/>
      <c r="R15" s="487">
        <f>SUM(G15:N15)</f>
        <v>0</v>
      </c>
      <c r="S15" s="408"/>
    </row>
    <row r="16" spans="1:19" s="86" customFormat="1" ht="25.15" customHeight="1" x14ac:dyDescent="0.2">
      <c r="A16" s="489"/>
      <c r="B16" s="490"/>
      <c r="C16" s="488" t="s">
        <v>43</v>
      </c>
      <c r="D16" s="491" t="s">
        <v>66</v>
      </c>
      <c r="E16" s="491"/>
      <c r="F16" s="492"/>
      <c r="G16" s="420"/>
      <c r="H16" s="420"/>
      <c r="I16" s="420"/>
      <c r="J16" s="420"/>
      <c r="K16" s="420"/>
      <c r="L16" s="420"/>
      <c r="M16" s="420"/>
      <c r="N16" s="420"/>
      <c r="O16" s="415"/>
      <c r="P16" s="419"/>
      <c r="Q16" s="419"/>
      <c r="R16" s="487">
        <f>SUM(G16:N16)</f>
        <v>0</v>
      </c>
      <c r="S16" s="408"/>
    </row>
    <row r="17" spans="1:21" s="86" customFormat="1" ht="25.15" customHeight="1" x14ac:dyDescent="0.2">
      <c r="A17" s="489"/>
      <c r="B17" s="490"/>
      <c r="C17" s="488" t="s">
        <v>44</v>
      </c>
      <c r="D17" s="491" t="s">
        <v>67</v>
      </c>
      <c r="E17" s="491"/>
      <c r="F17" s="492"/>
      <c r="G17" s="420"/>
      <c r="H17" s="420"/>
      <c r="I17" s="420"/>
      <c r="J17" s="420"/>
      <c r="K17" s="420">
        <v>1192691</v>
      </c>
      <c r="L17" s="420"/>
      <c r="M17" s="420"/>
      <c r="N17" s="420"/>
      <c r="O17" s="423"/>
      <c r="P17" s="419"/>
      <c r="Q17" s="419"/>
      <c r="R17" s="487">
        <f>SUM(G17:N17)</f>
        <v>1192691</v>
      </c>
      <c r="S17" s="408"/>
    </row>
    <row r="18" spans="1:21" s="86" customFormat="1" ht="25.15" customHeight="1" x14ac:dyDescent="0.2">
      <c r="A18" s="489"/>
      <c r="B18" s="490"/>
      <c r="C18" s="488" t="s">
        <v>45</v>
      </c>
      <c r="D18" s="491" t="s">
        <v>68</v>
      </c>
      <c r="E18" s="491"/>
      <c r="F18" s="492"/>
      <c r="G18" s="420"/>
      <c r="H18" s="420"/>
      <c r="I18" s="420"/>
      <c r="J18" s="420"/>
      <c r="K18" s="420">
        <v>68945</v>
      </c>
      <c r="L18" s="420"/>
      <c r="M18" s="420"/>
      <c r="N18" s="420"/>
      <c r="O18" s="423"/>
      <c r="P18" s="419"/>
      <c r="Q18" s="419"/>
      <c r="R18" s="487">
        <f>SUM(G18:N18)</f>
        <v>68945</v>
      </c>
      <c r="S18" s="408"/>
    </row>
    <row r="19" spans="1:21" s="86" customFormat="1" ht="25.15" customHeight="1" x14ac:dyDescent="0.2">
      <c r="A19" s="489"/>
      <c r="B19" s="490"/>
      <c r="C19" s="488" t="s">
        <v>46</v>
      </c>
      <c r="D19" s="491" t="s">
        <v>78</v>
      </c>
      <c r="E19" s="491"/>
      <c r="F19" s="492"/>
      <c r="G19" s="420"/>
      <c r="H19" s="420"/>
      <c r="I19" s="420">
        <v>1177617</v>
      </c>
      <c r="J19" s="423"/>
      <c r="K19" s="423"/>
      <c r="L19" s="423"/>
      <c r="M19" s="420"/>
      <c r="N19" s="423"/>
      <c r="O19" s="423"/>
      <c r="P19" s="419"/>
      <c r="Q19" s="419"/>
      <c r="R19" s="487">
        <f>SUM(G19+H19+I19+M19)</f>
        <v>1177617</v>
      </c>
      <c r="S19" s="408"/>
    </row>
    <row r="20" spans="1:21" s="86" customFormat="1" ht="25.15" customHeight="1" x14ac:dyDescent="0.2">
      <c r="A20" s="489"/>
      <c r="B20" s="490"/>
      <c r="C20" s="488" t="s">
        <v>47</v>
      </c>
      <c r="D20" s="491" t="s">
        <v>94</v>
      </c>
      <c r="E20" s="491"/>
      <c r="F20" s="492"/>
      <c r="G20" s="420"/>
      <c r="H20" s="420"/>
      <c r="I20" s="420">
        <v>1147231</v>
      </c>
      <c r="J20" s="423"/>
      <c r="K20" s="423"/>
      <c r="L20" s="423"/>
      <c r="M20" s="420"/>
      <c r="N20" s="423"/>
      <c r="O20" s="423"/>
      <c r="P20" s="419"/>
      <c r="Q20" s="419"/>
      <c r="R20" s="487">
        <f>SUM(G20+H20+I20+M20)</f>
        <v>1147231</v>
      </c>
      <c r="S20" s="408"/>
    </row>
    <row r="21" spans="1:21" s="86" customFormat="1" ht="25.15" customHeight="1" x14ac:dyDescent="0.2">
      <c r="A21" s="489"/>
      <c r="B21" s="490"/>
      <c r="C21" s="488" t="s">
        <v>48</v>
      </c>
      <c r="D21" s="491" t="s">
        <v>117</v>
      </c>
      <c r="E21" s="491"/>
      <c r="F21" s="492"/>
      <c r="G21" s="420">
        <v>19732337</v>
      </c>
      <c r="H21" s="420">
        <v>2051164</v>
      </c>
      <c r="I21" s="420">
        <v>1605860</v>
      </c>
      <c r="J21" s="423"/>
      <c r="K21" s="423"/>
      <c r="L21" s="423"/>
      <c r="M21" s="422"/>
      <c r="N21" s="423"/>
      <c r="O21" s="422"/>
      <c r="P21" s="419"/>
      <c r="Q21" s="419"/>
      <c r="R21" s="487">
        <f>G21+H21+I21+M21+O21</f>
        <v>23389361</v>
      </c>
      <c r="S21" s="408"/>
    </row>
    <row r="22" spans="1:21" s="86" customFormat="1" ht="25.15" customHeight="1" x14ac:dyDescent="0.2">
      <c r="A22" s="489"/>
      <c r="B22" s="493"/>
      <c r="C22" s="208" t="s">
        <v>56</v>
      </c>
      <c r="D22" s="494" t="s">
        <v>76</v>
      </c>
      <c r="E22" s="494"/>
      <c r="F22" s="495"/>
      <c r="G22" s="424"/>
      <c r="H22" s="424"/>
      <c r="I22" s="424"/>
      <c r="J22" s="424"/>
      <c r="K22" s="424"/>
      <c r="L22" s="424"/>
      <c r="M22" s="424"/>
      <c r="N22" s="424"/>
      <c r="O22" s="425"/>
      <c r="P22" s="426"/>
      <c r="Q22" s="496">
        <v>463778</v>
      </c>
      <c r="R22" s="497">
        <f>Q22</f>
        <v>463778</v>
      </c>
      <c r="S22" s="408"/>
    </row>
    <row r="23" spans="1:21" ht="25.15" customHeight="1" x14ac:dyDescent="0.2">
      <c r="A23" s="484"/>
      <c r="B23" s="498"/>
      <c r="C23" s="499" t="s">
        <v>122</v>
      </c>
      <c r="D23" s="500"/>
      <c r="E23" s="500"/>
      <c r="F23" s="500"/>
      <c r="G23" s="501">
        <f>SUM(G15:G21)</f>
        <v>19732337</v>
      </c>
      <c r="H23" s="501">
        <f>SUM(H15:H21)</f>
        <v>2051164</v>
      </c>
      <c r="I23" s="501">
        <f>SUM(I15:I21)</f>
        <v>3930708</v>
      </c>
      <c r="J23" s="501">
        <f>SUM(J13:J18)</f>
        <v>0</v>
      </c>
      <c r="K23" s="501">
        <f>SUM(K14:K18)</f>
        <v>1261636</v>
      </c>
      <c r="L23" s="501">
        <f>SUM(L15:L18)</f>
        <v>0</v>
      </c>
      <c r="M23" s="501">
        <f>SUM(M15:M21)</f>
        <v>0</v>
      </c>
      <c r="N23" s="501">
        <f>SUM(N15:N18)</f>
        <v>0</v>
      </c>
      <c r="O23" s="502">
        <f>O21</f>
        <v>0</v>
      </c>
      <c r="P23" s="501">
        <f>P12</f>
        <v>1011172</v>
      </c>
      <c r="Q23" s="501">
        <f>Q22</f>
        <v>463778</v>
      </c>
      <c r="R23" s="501">
        <f>SUM(G23:Q23)</f>
        <v>28450795</v>
      </c>
    </row>
    <row r="24" spans="1:21" ht="25.15" customHeight="1" x14ac:dyDescent="0.25">
      <c r="A24" s="503">
        <v>2</v>
      </c>
      <c r="B24" s="504" t="s">
        <v>171</v>
      </c>
      <c r="C24" s="273"/>
      <c r="D24" s="273"/>
      <c r="E24" s="273"/>
      <c r="F24" s="483"/>
      <c r="G24" s="415"/>
      <c r="H24" s="415"/>
      <c r="I24" s="415"/>
      <c r="J24" s="415"/>
      <c r="K24" s="415"/>
      <c r="L24" s="415"/>
      <c r="M24" s="415"/>
      <c r="N24" s="415"/>
      <c r="O24" s="415"/>
      <c r="P24" s="416"/>
      <c r="Q24" s="416"/>
      <c r="R24" s="417"/>
      <c r="S24" s="408"/>
    </row>
    <row r="25" spans="1:21" ht="25.15" customHeight="1" x14ac:dyDescent="0.2">
      <c r="A25" s="484"/>
      <c r="B25" s="498"/>
      <c r="C25" s="305" t="s">
        <v>39</v>
      </c>
      <c r="D25" s="305" t="s">
        <v>80</v>
      </c>
      <c r="E25" s="305"/>
      <c r="F25" s="306"/>
      <c r="G25" s="420"/>
      <c r="H25" s="422"/>
      <c r="I25" s="422"/>
      <c r="J25" s="423"/>
      <c r="K25" s="423"/>
      <c r="L25" s="423"/>
      <c r="M25" s="423"/>
      <c r="N25" s="423"/>
      <c r="O25" s="423"/>
      <c r="P25" s="418"/>
      <c r="Q25" s="419"/>
      <c r="R25" s="487">
        <f>G25+H25+I25+P25</f>
        <v>0</v>
      </c>
    </row>
    <row r="26" spans="1:21" ht="25.15" customHeight="1" x14ac:dyDescent="0.2">
      <c r="A26" s="484"/>
      <c r="B26" s="498"/>
      <c r="C26" s="305" t="s">
        <v>40</v>
      </c>
      <c r="D26" s="305" t="s">
        <v>120</v>
      </c>
      <c r="E26" s="305"/>
      <c r="F26" s="306"/>
      <c r="G26" s="420">
        <f>0.95*(0.8*26160492)</f>
        <v>19881973.920000002</v>
      </c>
      <c r="H26" s="420">
        <f>0.95*(0.2*26160492)</f>
        <v>4970493.4800000004</v>
      </c>
      <c r="I26" s="420">
        <f>0.05*26160492</f>
        <v>1308024.6000000001</v>
      </c>
      <c r="J26" s="423"/>
      <c r="K26" s="423"/>
      <c r="L26" s="423"/>
      <c r="M26" s="420"/>
      <c r="N26" s="423"/>
      <c r="O26" s="420"/>
      <c r="P26" s="419"/>
      <c r="Q26" s="419"/>
      <c r="R26" s="487">
        <f>G26+H26+I26+M26+O26</f>
        <v>26160492.000000004</v>
      </c>
    </row>
    <row r="27" spans="1:21" ht="25.15" customHeight="1" x14ac:dyDescent="0.2">
      <c r="A27" s="484"/>
      <c r="B27" s="505"/>
      <c r="C27" s="149" t="s">
        <v>41</v>
      </c>
      <c r="D27" s="149" t="s">
        <v>121</v>
      </c>
      <c r="E27" s="149"/>
      <c r="F27" s="506"/>
      <c r="G27" s="427"/>
      <c r="H27" s="427"/>
      <c r="I27" s="427"/>
      <c r="J27" s="427"/>
      <c r="K27" s="427"/>
      <c r="L27" s="427"/>
      <c r="M27" s="427"/>
      <c r="N27" s="427"/>
      <c r="O27" s="424"/>
      <c r="P27" s="428"/>
      <c r="Q27" s="507">
        <v>132751</v>
      </c>
      <c r="R27" s="497">
        <f>Q27</f>
        <v>132751</v>
      </c>
    </row>
    <row r="28" spans="1:21" ht="25.15" customHeight="1" thickBot="1" x14ac:dyDescent="0.25">
      <c r="A28" s="508"/>
      <c r="B28" s="505"/>
      <c r="C28" s="190" t="s">
        <v>213</v>
      </c>
      <c r="D28" s="190" t="s">
        <v>77</v>
      </c>
      <c r="E28" s="190"/>
      <c r="F28" s="191"/>
      <c r="G28" s="509">
        <f>SUM(G25:G26)</f>
        <v>19881973.920000002</v>
      </c>
      <c r="H28" s="510">
        <f>SUM(H25:H26)</f>
        <v>4970493.4800000004</v>
      </c>
      <c r="I28" s="510">
        <f>SUM(I25:I26)</f>
        <v>1308024.6000000001</v>
      </c>
      <c r="J28" s="429"/>
      <c r="K28" s="429"/>
      <c r="L28" s="429"/>
      <c r="M28" s="510">
        <f>M26</f>
        <v>0</v>
      </c>
      <c r="N28" s="429"/>
      <c r="O28" s="510">
        <f>O26</f>
        <v>0</v>
      </c>
      <c r="P28" s="510">
        <f>P25</f>
        <v>0</v>
      </c>
      <c r="Q28" s="510">
        <f>SUM(Q27)</f>
        <v>132751</v>
      </c>
      <c r="R28" s="510">
        <f>SUM(R25:R27)</f>
        <v>26293243.000000004</v>
      </c>
      <c r="U28" s="91"/>
    </row>
    <row r="29" spans="1:21" ht="25.15" customHeight="1" x14ac:dyDescent="0.25">
      <c r="A29" s="503">
        <v>3</v>
      </c>
      <c r="B29" s="504" t="s">
        <v>291</v>
      </c>
      <c r="C29" s="272"/>
      <c r="D29" s="272"/>
      <c r="E29" s="272"/>
      <c r="F29" s="511"/>
      <c r="G29" s="430"/>
      <c r="H29" s="415"/>
      <c r="I29" s="415"/>
      <c r="J29" s="415"/>
      <c r="K29" s="415"/>
      <c r="L29" s="415"/>
      <c r="M29" s="415"/>
      <c r="N29" s="415"/>
      <c r="O29" s="415"/>
      <c r="P29" s="416"/>
      <c r="Q29" s="416"/>
      <c r="R29" s="415"/>
    </row>
    <row r="30" spans="1:21" ht="25.15" customHeight="1" x14ac:dyDescent="0.25">
      <c r="A30" s="481"/>
      <c r="B30" s="512" t="s">
        <v>98</v>
      </c>
      <c r="C30" s="305" t="s">
        <v>96</v>
      </c>
      <c r="D30" s="305"/>
      <c r="E30" s="305"/>
      <c r="F30" s="306"/>
      <c r="G30" s="430"/>
      <c r="H30" s="415"/>
      <c r="I30" s="415"/>
      <c r="J30" s="415"/>
      <c r="K30" s="415"/>
      <c r="L30" s="415"/>
      <c r="M30" s="415"/>
      <c r="N30" s="415"/>
      <c r="O30" s="415"/>
      <c r="P30" s="416"/>
      <c r="Q30" s="416"/>
      <c r="R30" s="417"/>
    </row>
    <row r="31" spans="1:21" ht="25.15" customHeight="1" x14ac:dyDescent="0.2">
      <c r="A31" s="484"/>
      <c r="B31" s="512"/>
      <c r="C31" s="213" t="s">
        <v>39</v>
      </c>
      <c r="D31" s="305" t="s">
        <v>75</v>
      </c>
      <c r="E31" s="305"/>
      <c r="F31" s="306"/>
      <c r="G31" s="431"/>
      <c r="H31" s="423"/>
      <c r="I31" s="423"/>
      <c r="J31" s="422"/>
      <c r="K31" s="423"/>
      <c r="L31" s="423"/>
      <c r="M31" s="423"/>
      <c r="N31" s="423"/>
      <c r="O31" s="423"/>
      <c r="P31" s="419"/>
      <c r="Q31" s="419"/>
      <c r="R31" s="487">
        <f>J31</f>
        <v>0</v>
      </c>
    </row>
    <row r="32" spans="1:21" ht="25.15" customHeight="1" x14ac:dyDescent="0.2">
      <c r="A32" s="484"/>
      <c r="B32" s="512"/>
      <c r="C32" s="213" t="s">
        <v>40</v>
      </c>
      <c r="D32" s="305" t="s">
        <v>69</v>
      </c>
      <c r="E32" s="305"/>
      <c r="F32" s="306"/>
      <c r="G32" s="431"/>
      <c r="H32" s="423"/>
      <c r="I32" s="423"/>
      <c r="J32" s="422"/>
      <c r="K32" s="422"/>
      <c r="L32" s="423"/>
      <c r="M32" s="423"/>
      <c r="N32" s="423"/>
      <c r="O32" s="423"/>
      <c r="P32" s="419"/>
      <c r="Q32" s="419"/>
      <c r="R32" s="487">
        <f>SUM(J32:K32)</f>
        <v>0</v>
      </c>
    </row>
    <row r="33" spans="1:20" ht="25.15" customHeight="1" x14ac:dyDescent="0.2">
      <c r="A33" s="484"/>
      <c r="B33" s="512"/>
      <c r="C33" s="213" t="s">
        <v>41</v>
      </c>
      <c r="D33" s="305" t="s">
        <v>70</v>
      </c>
      <c r="E33" s="305"/>
      <c r="F33" s="306"/>
      <c r="G33" s="432"/>
      <c r="H33" s="422"/>
      <c r="I33" s="422"/>
      <c r="J33" s="422"/>
      <c r="K33" s="420"/>
      <c r="L33" s="422"/>
      <c r="M33" s="422"/>
      <c r="N33" s="422"/>
      <c r="O33" s="423"/>
      <c r="P33" s="419"/>
      <c r="Q33" s="419"/>
      <c r="R33" s="487">
        <f>SUM(G33:N33)</f>
        <v>0</v>
      </c>
    </row>
    <row r="34" spans="1:20" ht="25.15" customHeight="1" x14ac:dyDescent="0.2">
      <c r="A34" s="484"/>
      <c r="B34" s="512"/>
      <c r="C34" s="213" t="s">
        <v>42</v>
      </c>
      <c r="D34" s="305" t="s">
        <v>71</v>
      </c>
      <c r="E34" s="305"/>
      <c r="F34" s="306"/>
      <c r="G34" s="432">
        <v>99858</v>
      </c>
      <c r="H34" s="422"/>
      <c r="I34" s="422"/>
      <c r="J34" s="422"/>
      <c r="K34" s="433"/>
      <c r="L34" s="422"/>
      <c r="M34" s="422"/>
      <c r="N34" s="422"/>
      <c r="O34" s="423"/>
      <c r="P34" s="419"/>
      <c r="Q34" s="419"/>
      <c r="R34" s="487">
        <f>SUM(G34:N34)</f>
        <v>99858</v>
      </c>
    </row>
    <row r="35" spans="1:20" ht="25.15" customHeight="1" x14ac:dyDescent="0.2">
      <c r="A35" s="484"/>
      <c r="B35" s="512"/>
      <c r="C35" s="213" t="s">
        <v>43</v>
      </c>
      <c r="D35" s="305" t="s">
        <v>72</v>
      </c>
      <c r="E35" s="305"/>
      <c r="F35" s="306"/>
      <c r="G35" s="434"/>
      <c r="H35" s="435"/>
      <c r="I35" s="422"/>
      <c r="J35" s="422"/>
      <c r="K35" s="420">
        <f>K17</f>
        <v>1192691</v>
      </c>
      <c r="L35" s="435"/>
      <c r="M35" s="422"/>
      <c r="N35" s="422"/>
      <c r="O35" s="423"/>
      <c r="P35" s="419"/>
      <c r="Q35" s="419"/>
      <c r="R35" s="487">
        <f>SUM(G35:N35)</f>
        <v>1192691</v>
      </c>
    </row>
    <row r="36" spans="1:20" ht="25.15" customHeight="1" x14ac:dyDescent="0.2">
      <c r="A36" s="484"/>
      <c r="B36" s="512"/>
      <c r="C36" s="213" t="s">
        <v>44</v>
      </c>
      <c r="D36" s="305" t="s">
        <v>82</v>
      </c>
      <c r="E36" s="305"/>
      <c r="F36" s="306"/>
      <c r="G36" s="432"/>
      <c r="H36" s="432"/>
      <c r="I36" s="432"/>
      <c r="J36" s="422"/>
      <c r="K36" s="420">
        <f>K18</f>
        <v>68945</v>
      </c>
      <c r="L36" s="422"/>
      <c r="M36" s="422"/>
      <c r="N36" s="422"/>
      <c r="O36" s="423"/>
      <c r="P36" s="419"/>
      <c r="Q36" s="419"/>
      <c r="R36" s="487">
        <f>SUM(G36:N36)</f>
        <v>68945</v>
      </c>
    </row>
    <row r="37" spans="1:20" ht="25.15" customHeight="1" x14ac:dyDescent="0.2">
      <c r="A37" s="484"/>
      <c r="B37" s="512"/>
      <c r="C37" s="213" t="s">
        <v>45</v>
      </c>
      <c r="D37" s="305" t="s">
        <v>79</v>
      </c>
      <c r="E37" s="305"/>
      <c r="F37" s="306"/>
      <c r="G37" s="436"/>
      <c r="H37" s="436"/>
      <c r="I37" s="432">
        <f>I19</f>
        <v>1177617</v>
      </c>
      <c r="J37" s="422"/>
      <c r="K37" s="422"/>
      <c r="L37" s="423"/>
      <c r="M37" s="420"/>
      <c r="N37" s="423"/>
      <c r="O37" s="423"/>
      <c r="P37" s="419"/>
      <c r="Q37" s="419"/>
      <c r="R37" s="487">
        <f>SUM(G37+H37+I37+J37+K37+M37)</f>
        <v>1177617</v>
      </c>
    </row>
    <row r="38" spans="1:20" ht="25.15" customHeight="1" x14ac:dyDescent="0.2">
      <c r="A38" s="484"/>
      <c r="B38" s="512"/>
      <c r="C38" s="213" t="s">
        <v>46</v>
      </c>
      <c r="D38" s="305" t="s">
        <v>93</v>
      </c>
      <c r="E38" s="305"/>
      <c r="F38" s="306"/>
      <c r="G38" s="436">
        <v>63577</v>
      </c>
      <c r="H38" s="436"/>
      <c r="I38" s="436">
        <f>'[38]RER Summary'!$I$62-I37</f>
        <v>598285.8899999999</v>
      </c>
      <c r="J38" s="422"/>
      <c r="K38" s="422"/>
      <c r="L38" s="423"/>
      <c r="M38" s="420"/>
      <c r="N38" s="423"/>
      <c r="O38" s="431"/>
      <c r="P38" s="419"/>
      <c r="Q38" s="419"/>
      <c r="R38" s="487">
        <f>SUM(G38+H38+I38+J38+K38+M38)</f>
        <v>661862.8899999999</v>
      </c>
    </row>
    <row r="39" spans="1:20" ht="25.15" customHeight="1" x14ac:dyDescent="0.2">
      <c r="A39" s="484"/>
      <c r="B39" s="512"/>
      <c r="C39" s="213" t="s">
        <v>47</v>
      </c>
      <c r="D39" s="305" t="s">
        <v>115</v>
      </c>
      <c r="E39" s="305"/>
      <c r="F39" s="306"/>
      <c r="G39" s="437">
        <f>G21+G67</f>
        <v>19620774.635000002</v>
      </c>
      <c r="H39" s="437">
        <f>H21-331565</f>
        <v>1719599</v>
      </c>
      <c r="I39" s="437"/>
      <c r="J39" s="438">
        <v>272420.34999999998</v>
      </c>
      <c r="K39" s="438"/>
      <c r="L39" s="424"/>
      <c r="M39" s="438"/>
      <c r="N39" s="424"/>
      <c r="O39" s="439"/>
      <c r="P39" s="428"/>
      <c r="Q39" s="428"/>
      <c r="R39" s="497">
        <f>SUM(G39+H39+I39+J39+K39+M39+O39)</f>
        <v>21612793.985000003</v>
      </c>
      <c r="T39" s="91"/>
    </row>
    <row r="40" spans="1:20" ht="25.15" customHeight="1" x14ac:dyDescent="0.2">
      <c r="A40" s="484"/>
      <c r="B40" s="512"/>
      <c r="C40" s="213" t="s">
        <v>48</v>
      </c>
      <c r="D40" s="305" t="s">
        <v>123</v>
      </c>
      <c r="E40" s="305"/>
      <c r="F40" s="306"/>
      <c r="G40" s="437">
        <f>'[38]RER Summary'!$I$60-G39-G34-G38</f>
        <v>824328.932511352</v>
      </c>
      <c r="H40" s="437">
        <f>'[38]RER Summary'!$I$61-H39-H38</f>
        <v>4641404.780749999</v>
      </c>
      <c r="I40" s="437"/>
      <c r="J40" s="438">
        <f>'[38]RER Summary'!$I$63-J39</f>
        <v>1909767.4700000002</v>
      </c>
      <c r="K40" s="438">
        <f>'[38]RER Summary'!$I$64-K35-K36</f>
        <v>531628.80000000005</v>
      </c>
      <c r="L40" s="424"/>
      <c r="M40" s="440"/>
      <c r="N40" s="424"/>
      <c r="O40" s="437"/>
      <c r="P40" s="428"/>
      <c r="Q40" s="428"/>
      <c r="R40" s="497">
        <f>SUM(G40+H40+I40+J40+K40+M40+O40)</f>
        <v>7907129.9832613515</v>
      </c>
    </row>
    <row r="41" spans="1:20" ht="25.15" customHeight="1" x14ac:dyDescent="0.2">
      <c r="A41" s="147"/>
      <c r="B41" s="513" t="s">
        <v>124</v>
      </c>
      <c r="C41" s="514"/>
      <c r="D41" s="514"/>
      <c r="E41" s="514"/>
      <c r="F41" s="515"/>
      <c r="G41" s="502">
        <f>SUM(G33:G40)</f>
        <v>20608538.567511354</v>
      </c>
      <c r="H41" s="502">
        <f>SUM(H33:H40)</f>
        <v>6361003.780749999</v>
      </c>
      <c r="I41" s="502">
        <f>SUM(I33:I40)</f>
        <v>1775902.89</v>
      </c>
      <c r="J41" s="502">
        <f>SUM(J31:J40)</f>
        <v>2182187.8200000003</v>
      </c>
      <c r="K41" s="502">
        <f>SUM(K32:K40)</f>
        <v>1793264.8</v>
      </c>
      <c r="L41" s="502">
        <f>SUM(L33:L36)</f>
        <v>0</v>
      </c>
      <c r="M41" s="502">
        <f>SUM(M33:M40)</f>
        <v>0</v>
      </c>
      <c r="N41" s="502">
        <f>SUM(N33:N36)</f>
        <v>0</v>
      </c>
      <c r="O41" s="502">
        <f>SUM(O39:O40)</f>
        <v>0</v>
      </c>
      <c r="P41" s="441"/>
      <c r="Q41" s="441"/>
      <c r="R41" s="501">
        <f>SUM(G41:O41)</f>
        <v>32720897.858261354</v>
      </c>
      <c r="S41" s="442"/>
    </row>
    <row r="42" spans="1:20" ht="25.15" customHeight="1" x14ac:dyDescent="0.2">
      <c r="A42" s="484"/>
      <c r="B42" s="512"/>
      <c r="C42" s="213" t="s">
        <v>56</v>
      </c>
      <c r="D42" s="305" t="s">
        <v>76</v>
      </c>
      <c r="E42" s="305"/>
      <c r="F42" s="306"/>
      <c r="G42" s="516"/>
      <c r="H42" s="447"/>
      <c r="I42" s="517"/>
      <c r="J42" s="451"/>
      <c r="K42" s="517"/>
      <c r="L42" s="517"/>
      <c r="M42" s="517"/>
      <c r="N42" s="517"/>
      <c r="O42" s="517"/>
      <c r="P42" s="416"/>
      <c r="Q42" s="518">
        <f>SUM(G42:O42)</f>
        <v>0</v>
      </c>
      <c r="R42" s="519">
        <f>Q42</f>
        <v>0</v>
      </c>
    </row>
    <row r="43" spans="1:20" ht="25.15" customHeight="1" x14ac:dyDescent="0.2">
      <c r="A43" s="484"/>
      <c r="B43" s="512" t="s">
        <v>99</v>
      </c>
      <c r="C43" s="305" t="s">
        <v>97</v>
      </c>
      <c r="D43" s="305"/>
      <c r="E43" s="305"/>
      <c r="F43" s="306"/>
      <c r="G43" s="443"/>
      <c r="H43" s="444"/>
      <c r="I43" s="444"/>
      <c r="J43" s="444"/>
      <c r="K43" s="444"/>
      <c r="L43" s="444"/>
      <c r="M43" s="444"/>
      <c r="N43" s="444"/>
      <c r="O43" s="444"/>
      <c r="P43" s="426"/>
      <c r="Q43" s="426"/>
      <c r="R43" s="445"/>
    </row>
    <row r="44" spans="1:20" ht="25.15" customHeight="1" x14ac:dyDescent="0.25">
      <c r="A44" s="484"/>
      <c r="B44" s="520"/>
      <c r="C44" s="213" t="s">
        <v>39</v>
      </c>
      <c r="D44" s="213" t="s">
        <v>90</v>
      </c>
      <c r="E44" s="213"/>
      <c r="F44" s="133"/>
      <c r="G44" s="446">
        <f>'[38]RER Summary'!$J$60</f>
        <v>3667637</v>
      </c>
      <c r="H44" s="420">
        <f>'[38]RER Summary'!$J$61</f>
        <v>39255</v>
      </c>
      <c r="I44" s="436">
        <f>'[38]RER Summary'!$J$62</f>
        <v>0</v>
      </c>
      <c r="J44" s="436">
        <f>'[38]RER Summary'!$J$63</f>
        <v>92820</v>
      </c>
      <c r="K44" s="436">
        <f>'[38]RER Summary'!$J$64</f>
        <v>0</v>
      </c>
      <c r="L44" s="432"/>
      <c r="M44" s="436"/>
      <c r="N44" s="436"/>
      <c r="O44" s="436"/>
      <c r="P44" s="419"/>
      <c r="Q44" s="419"/>
      <c r="R44" s="487">
        <f>SUM(G44:P44)</f>
        <v>3799712</v>
      </c>
    </row>
    <row r="45" spans="1:20" ht="25.15" customHeight="1" x14ac:dyDescent="0.25">
      <c r="A45" s="484"/>
      <c r="B45" s="520"/>
      <c r="C45" s="213" t="s">
        <v>40</v>
      </c>
      <c r="D45" s="213" t="s">
        <v>91</v>
      </c>
      <c r="E45" s="213"/>
      <c r="F45" s="133"/>
      <c r="G45" s="446">
        <f>'[38]RER Summary'!$K$60</f>
        <v>1804080</v>
      </c>
      <c r="H45" s="420">
        <f>'[38]RER Summary'!$K$61</f>
        <v>190751</v>
      </c>
      <c r="I45" s="436">
        <f>'[38]RER Summary'!$K$62</f>
        <v>0</v>
      </c>
      <c r="J45" s="436">
        <f>'[38]RER Summary'!$K$63</f>
        <v>180949</v>
      </c>
      <c r="K45" s="436">
        <f>'[38]RER Summary'!$K$64</f>
        <v>0</v>
      </c>
      <c r="L45" s="432"/>
      <c r="M45" s="436"/>
      <c r="N45" s="436"/>
      <c r="O45" s="436"/>
      <c r="P45" s="419"/>
      <c r="Q45" s="419"/>
      <c r="R45" s="487">
        <f>SUM(G45:P45)</f>
        <v>2175780</v>
      </c>
    </row>
    <row r="46" spans="1:20" ht="25.15" customHeight="1" x14ac:dyDescent="0.25">
      <c r="A46" s="484"/>
      <c r="B46" s="520"/>
      <c r="C46" s="213" t="s">
        <v>41</v>
      </c>
      <c r="D46" s="305" t="s">
        <v>89</v>
      </c>
      <c r="E46" s="305"/>
      <c r="F46" s="306"/>
      <c r="G46" s="440">
        <f>'[38]RER Summary'!$L$60</f>
        <v>11576333</v>
      </c>
      <c r="H46" s="447">
        <f>'[38]RER Summary'!$L$61</f>
        <v>4207441</v>
      </c>
      <c r="I46" s="436">
        <f>'[38]RER Summary'!$L$62</f>
        <v>0</v>
      </c>
      <c r="J46" s="436">
        <f>'[38]RER Summary'!$L$63</f>
        <v>913631</v>
      </c>
      <c r="K46" s="436">
        <f>'[38]RER Summary'!$L$64</f>
        <v>674628</v>
      </c>
      <c r="L46" s="432"/>
      <c r="M46" s="436"/>
      <c r="N46" s="436"/>
      <c r="O46" s="436"/>
      <c r="P46" s="419"/>
      <c r="Q46" s="419"/>
      <c r="R46" s="487">
        <f>SUM(G46:O46)</f>
        <v>17372033</v>
      </c>
      <c r="T46" s="91"/>
    </row>
    <row r="47" spans="1:20" ht="25.15" customHeight="1" x14ac:dyDescent="0.2">
      <c r="A47" s="484"/>
      <c r="B47" s="498" t="s">
        <v>158</v>
      </c>
      <c r="C47" s="305" t="s">
        <v>168</v>
      </c>
      <c r="D47" s="305"/>
      <c r="E47" s="305"/>
      <c r="F47" s="306"/>
      <c r="G47" s="440">
        <f>SUM(G41+G42+G44+G45+G46)</f>
        <v>37656588.56751135</v>
      </c>
      <c r="H47" s="440">
        <f t="shared" ref="H47:O47" si="0">SUM(H41+H42+H44+H45+H46)</f>
        <v>10798450.780749999</v>
      </c>
      <c r="I47" s="440">
        <f t="shared" si="0"/>
        <v>1775902.89</v>
      </c>
      <c r="J47" s="440">
        <f t="shared" si="0"/>
        <v>3369587.8200000003</v>
      </c>
      <c r="K47" s="440">
        <f>SUM(K41+K42+K44+K45+K46)</f>
        <v>2467892.7999999998</v>
      </c>
      <c r="L47" s="440">
        <f t="shared" si="0"/>
        <v>0</v>
      </c>
      <c r="M47" s="440">
        <f t="shared" si="0"/>
        <v>0</v>
      </c>
      <c r="N47" s="440">
        <f t="shared" si="0"/>
        <v>0</v>
      </c>
      <c r="O47" s="440">
        <f t="shared" si="0"/>
        <v>0</v>
      </c>
      <c r="P47" s="428"/>
      <c r="Q47" s="428"/>
      <c r="R47" s="497">
        <f>SUM(G47:O47)</f>
        <v>56068422.858261347</v>
      </c>
    </row>
    <row r="48" spans="1:20" ht="25.15" customHeight="1" x14ac:dyDescent="0.2">
      <c r="A48" s="521"/>
      <c r="B48" s="522" t="s">
        <v>166</v>
      </c>
      <c r="C48" s="523" t="s">
        <v>61</v>
      </c>
      <c r="D48" s="524"/>
      <c r="E48" s="524"/>
      <c r="F48" s="524"/>
      <c r="G48" s="502">
        <f>IF(ROUND(G47,0)=ROUND('CSS '!G54,0),'CSS '!G54,"ERROR")</f>
        <v>37656588.567511365</v>
      </c>
      <c r="H48" s="502">
        <f>IF(H47=PEI!G51,PEI!G51,"ERROR")</f>
        <v>10798450.780750001</v>
      </c>
      <c r="I48" s="502">
        <f>IF(I47=INN!G35,INN!G35,"ERROR")</f>
        <v>1775902.89</v>
      </c>
      <c r="J48" s="502">
        <f>IF(J47=WET!E15,WET!E15,"ERROR")</f>
        <v>3369587.8200000003</v>
      </c>
      <c r="K48" s="502">
        <f>IF(K47=CFTN!F41,CFTN!F41,"ERROR")</f>
        <v>2467892.7999999998</v>
      </c>
      <c r="L48" s="502">
        <f>IF(L47='Other MHSA Funds'!D7,'Other MHSA Funds'!D7,"ERROR")</f>
        <v>0</v>
      </c>
      <c r="M48" s="502">
        <f>IF(M47='Other MHSA Funds'!D9,'Other MHSA Funds'!D9,"ERROR")</f>
        <v>0</v>
      </c>
      <c r="N48" s="502">
        <f>IF(N47='Other MHSA Funds'!D11,'Other MHSA Funds'!D11,"ERROR")</f>
        <v>0</v>
      </c>
      <c r="O48" s="502">
        <f>IF(O47='Unencumbered Housing Funds'!D6,'Unencumbered Housing Funds'!D6,"ERROR")</f>
        <v>0</v>
      </c>
      <c r="P48" s="448"/>
      <c r="Q48" s="525">
        <f>Q42</f>
        <v>0</v>
      </c>
      <c r="R48" s="526">
        <f>SUM(G48+H48+I48+J48+K48+L48+M48+N48+O48+Q48)</f>
        <v>56068422.858261362</v>
      </c>
    </row>
    <row r="49" spans="1:19" x14ac:dyDescent="0.2">
      <c r="A49" s="147"/>
      <c r="B49" s="149"/>
      <c r="C49" s="149"/>
      <c r="D49" s="149"/>
      <c r="E49" s="149"/>
      <c r="F49" s="149"/>
      <c r="G49" s="149"/>
      <c r="H49" s="149"/>
      <c r="I49" s="149"/>
      <c r="J49" s="149"/>
      <c r="K49" s="149"/>
      <c r="L49" s="149"/>
      <c r="M49" s="149"/>
      <c r="N49" s="149"/>
      <c r="O49" s="149"/>
      <c r="P49" s="149"/>
      <c r="Q49" s="149"/>
      <c r="R49" s="527"/>
      <c r="S49" s="128"/>
    </row>
    <row r="50" spans="1:19" x14ac:dyDescent="0.2">
      <c r="A50" s="147" t="s">
        <v>169</v>
      </c>
      <c r="B50" s="149"/>
      <c r="C50" s="149"/>
      <c r="D50" s="149"/>
      <c r="E50" s="149"/>
      <c r="F50" s="149"/>
      <c r="G50" s="149"/>
      <c r="H50" s="149"/>
      <c r="I50" s="149"/>
      <c r="J50" s="149"/>
      <c r="K50" s="149"/>
      <c r="L50" s="149"/>
      <c r="M50" s="149"/>
      <c r="N50" s="149"/>
      <c r="O50" s="149"/>
      <c r="P50" s="149"/>
      <c r="Q50" s="149"/>
      <c r="R50" s="527"/>
      <c r="S50" s="128"/>
    </row>
    <row r="51" spans="1:19" x14ac:dyDescent="0.2">
      <c r="A51" s="147"/>
      <c r="B51" s="149"/>
      <c r="C51" s="149"/>
      <c r="D51" s="149"/>
      <c r="E51" s="149"/>
      <c r="F51" s="149"/>
      <c r="G51" s="528"/>
      <c r="H51" s="149"/>
      <c r="I51" s="149"/>
      <c r="J51" s="149"/>
      <c r="K51" s="149"/>
      <c r="L51" s="149"/>
      <c r="M51" s="149"/>
      <c r="N51" s="149"/>
      <c r="O51" s="149"/>
      <c r="P51" s="149"/>
      <c r="Q51" s="149"/>
      <c r="R51" s="527"/>
    </row>
    <row r="52" spans="1:19" ht="25.15" customHeight="1" x14ac:dyDescent="0.25">
      <c r="A52" s="503">
        <v>4</v>
      </c>
      <c r="B52" s="504" t="s">
        <v>292</v>
      </c>
      <c r="C52" s="272"/>
      <c r="D52" s="272"/>
      <c r="E52" s="272"/>
      <c r="F52" s="511"/>
      <c r="G52" s="449"/>
      <c r="H52" s="449"/>
      <c r="I52" s="449"/>
      <c r="J52" s="449"/>
      <c r="K52" s="449"/>
      <c r="L52" s="449"/>
      <c r="M52" s="449"/>
      <c r="N52" s="449"/>
      <c r="O52" s="449"/>
      <c r="P52" s="449"/>
      <c r="Q52" s="449"/>
      <c r="R52" s="450"/>
    </row>
    <row r="53" spans="1:19" ht="25.15" customHeight="1" x14ac:dyDescent="0.25">
      <c r="A53" s="484"/>
      <c r="B53" s="482"/>
      <c r="C53" s="529" t="s">
        <v>39</v>
      </c>
      <c r="D53" s="491" t="s">
        <v>95</v>
      </c>
      <c r="E53" s="491"/>
      <c r="F53" s="492"/>
      <c r="G53" s="447"/>
      <c r="H53" s="451"/>
      <c r="I53" s="451"/>
      <c r="J53" s="447"/>
      <c r="K53" s="447"/>
      <c r="L53" s="415"/>
      <c r="M53" s="415"/>
      <c r="N53" s="415"/>
      <c r="O53" s="415"/>
      <c r="P53" s="452"/>
      <c r="Q53" s="416"/>
      <c r="R53" s="519">
        <f>SUM(G53+H53+I53+J53+K53+P53)</f>
        <v>0</v>
      </c>
      <c r="S53" s="453"/>
    </row>
    <row r="54" spans="1:19" ht="25.15" customHeight="1" x14ac:dyDescent="0.25">
      <c r="A54" s="484"/>
      <c r="B54" s="482"/>
      <c r="C54" s="529" t="s">
        <v>40</v>
      </c>
      <c r="D54" s="491" t="s">
        <v>116</v>
      </c>
      <c r="E54" s="491"/>
      <c r="F54" s="492"/>
      <c r="G54" s="420"/>
      <c r="H54" s="422"/>
      <c r="I54" s="422"/>
      <c r="J54" s="420"/>
      <c r="K54" s="420"/>
      <c r="L54" s="423"/>
      <c r="M54" s="423"/>
      <c r="N54" s="423"/>
      <c r="O54" s="423"/>
      <c r="P54" s="452"/>
      <c r="Q54" s="419"/>
      <c r="R54" s="519">
        <f>SUM(G54+H54+I54+J54+K54+P54)</f>
        <v>0</v>
      </c>
      <c r="S54" s="453"/>
    </row>
    <row r="55" spans="1:19" ht="24.6" customHeight="1" x14ac:dyDescent="0.25">
      <c r="A55" s="484"/>
      <c r="B55" s="482"/>
      <c r="C55" s="529" t="s">
        <v>41</v>
      </c>
      <c r="D55" s="491" t="s">
        <v>125</v>
      </c>
      <c r="E55" s="491"/>
      <c r="F55" s="492"/>
      <c r="G55" s="420">
        <f>AVERAGE(32117207,22944624,29515643,20485899,38805378)*-0.2</f>
        <v>-5754750.04</v>
      </c>
      <c r="H55" s="422"/>
      <c r="I55" s="422"/>
      <c r="J55" s="420">
        <f>J41-J70</f>
        <v>1909767.4700000004</v>
      </c>
      <c r="K55" s="420">
        <f>K40</f>
        <v>531628.80000000005</v>
      </c>
      <c r="L55" s="423"/>
      <c r="M55" s="423"/>
      <c r="N55" s="423"/>
      <c r="O55" s="423"/>
      <c r="P55" s="452">
        <f>(G55+J55+K55)*-1</f>
        <v>3313353.7699999996</v>
      </c>
      <c r="Q55" s="428"/>
      <c r="R55" s="519">
        <f>SUM(G55+H55+I55+J55+K55+P55)</f>
        <v>0</v>
      </c>
      <c r="S55" s="453"/>
    </row>
    <row r="56" spans="1:19" ht="24.6" customHeight="1" x14ac:dyDescent="0.25">
      <c r="A56" s="508"/>
      <c r="B56" s="482"/>
      <c r="C56" s="529" t="s">
        <v>218</v>
      </c>
      <c r="D56" s="491"/>
      <c r="E56" s="491"/>
      <c r="F56" s="492"/>
      <c r="G56" s="530">
        <f>SUM(G53:G55)</f>
        <v>-5754750.04</v>
      </c>
      <c r="H56" s="530">
        <f>SUM(H53:H55)</f>
        <v>0</v>
      </c>
      <c r="I56" s="530">
        <f>SUM(I53:I55)</f>
        <v>0</v>
      </c>
      <c r="J56" s="530">
        <f>SUM(J53:J55)</f>
        <v>1909767.4700000004</v>
      </c>
      <c r="K56" s="530">
        <f>SUM(K53:K55)</f>
        <v>531628.80000000005</v>
      </c>
      <c r="L56" s="425"/>
      <c r="M56" s="425"/>
      <c r="N56" s="425"/>
      <c r="O56" s="425"/>
      <c r="P56" s="452">
        <f>SUM(P53:P55)</f>
        <v>3313353.7699999996</v>
      </c>
      <c r="Q56" s="426"/>
      <c r="R56" s="519">
        <f>SUM(G56+H56+I56+J56+K56+P56)</f>
        <v>0</v>
      </c>
      <c r="S56" s="453"/>
    </row>
    <row r="57" spans="1:19" ht="25.15" customHeight="1" x14ac:dyDescent="0.25">
      <c r="A57" s="531">
        <v>5</v>
      </c>
      <c r="B57" s="532" t="s">
        <v>293</v>
      </c>
      <c r="C57" s="533"/>
      <c r="D57" s="533"/>
      <c r="E57" s="533"/>
      <c r="F57" s="534"/>
      <c r="G57" s="454"/>
      <c r="H57" s="455"/>
      <c r="I57" s="455"/>
      <c r="J57" s="455"/>
      <c r="K57" s="455"/>
      <c r="L57" s="455"/>
      <c r="M57" s="455"/>
      <c r="N57" s="455"/>
      <c r="O57" s="455"/>
      <c r="P57" s="535"/>
      <c r="Q57" s="456"/>
      <c r="R57" s="457"/>
    </row>
    <row r="58" spans="1:19" ht="25.15" customHeight="1" x14ac:dyDescent="0.25">
      <c r="A58" s="536"/>
      <c r="B58" s="537"/>
      <c r="C58" s="538" t="s">
        <v>39</v>
      </c>
      <c r="D58" s="539" t="s">
        <v>60</v>
      </c>
      <c r="E58" s="539"/>
      <c r="F58" s="540"/>
      <c r="G58" s="431"/>
      <c r="H58" s="423"/>
      <c r="I58" s="423"/>
      <c r="J58" s="423"/>
      <c r="K58" s="423"/>
      <c r="L58" s="423"/>
      <c r="M58" s="423"/>
      <c r="N58" s="423"/>
      <c r="O58" s="423"/>
      <c r="P58" s="418"/>
      <c r="Q58" s="419"/>
      <c r="R58" s="487">
        <f>P58</f>
        <v>0</v>
      </c>
    </row>
    <row r="59" spans="1:19" ht="25.15" customHeight="1" x14ac:dyDescent="0.25">
      <c r="A59" s="536"/>
      <c r="B59" s="537"/>
      <c r="C59" s="538" t="s">
        <v>40</v>
      </c>
      <c r="D59" s="539" t="s">
        <v>74</v>
      </c>
      <c r="E59" s="539"/>
      <c r="F59" s="540"/>
      <c r="G59" s="431"/>
      <c r="H59" s="423"/>
      <c r="I59" s="423"/>
      <c r="J59" s="420"/>
      <c r="K59" s="423"/>
      <c r="L59" s="423"/>
      <c r="M59" s="423"/>
      <c r="N59" s="423"/>
      <c r="O59" s="423"/>
      <c r="P59" s="419"/>
      <c r="Q59" s="419"/>
      <c r="R59" s="487">
        <f>J59</f>
        <v>0</v>
      </c>
    </row>
    <row r="60" spans="1:19" ht="25.15" customHeight="1" x14ac:dyDescent="0.25">
      <c r="A60" s="536"/>
      <c r="B60" s="537"/>
      <c r="C60" s="538" t="s">
        <v>41</v>
      </c>
      <c r="D60" s="539" t="s">
        <v>64</v>
      </c>
      <c r="E60" s="539"/>
      <c r="F60" s="540"/>
      <c r="G60" s="431"/>
      <c r="H60" s="423"/>
      <c r="I60" s="423"/>
      <c r="J60" s="420"/>
      <c r="K60" s="422"/>
      <c r="L60" s="423"/>
      <c r="M60" s="423"/>
      <c r="N60" s="423"/>
      <c r="O60" s="423"/>
      <c r="P60" s="419"/>
      <c r="Q60" s="419"/>
      <c r="R60" s="487">
        <f>J60+K60</f>
        <v>0</v>
      </c>
    </row>
    <row r="61" spans="1:19" s="88" customFormat="1" ht="25.15" customHeight="1" x14ac:dyDescent="0.25">
      <c r="A61" s="536"/>
      <c r="B61" s="537"/>
      <c r="C61" s="538" t="s">
        <v>42</v>
      </c>
      <c r="D61" s="539" t="s">
        <v>65</v>
      </c>
      <c r="E61" s="539"/>
      <c r="F61" s="540"/>
      <c r="G61" s="432"/>
      <c r="H61" s="422"/>
      <c r="I61" s="422"/>
      <c r="J61" s="420"/>
      <c r="K61" s="422"/>
      <c r="L61" s="422"/>
      <c r="M61" s="422"/>
      <c r="N61" s="422"/>
      <c r="O61" s="423"/>
      <c r="P61" s="419"/>
      <c r="Q61" s="419"/>
      <c r="R61" s="487">
        <f>SUM(G61:N61)</f>
        <v>0</v>
      </c>
      <c r="S61" s="128"/>
    </row>
    <row r="62" spans="1:19" s="88" customFormat="1" ht="25.15" customHeight="1" x14ac:dyDescent="0.25">
      <c r="A62" s="536"/>
      <c r="B62" s="537"/>
      <c r="C62" s="538" t="s">
        <v>43</v>
      </c>
      <c r="D62" s="539" t="s">
        <v>66</v>
      </c>
      <c r="E62" s="539"/>
      <c r="F62" s="540"/>
      <c r="G62" s="432">
        <f>'Adjustments Summary'!D6</f>
        <v>99858</v>
      </c>
      <c r="H62" s="432"/>
      <c r="I62" s="432"/>
      <c r="J62" s="420"/>
      <c r="K62" s="422"/>
      <c r="L62" s="451"/>
      <c r="M62" s="422"/>
      <c r="N62" s="422"/>
      <c r="O62" s="423"/>
      <c r="P62" s="419"/>
      <c r="Q62" s="419"/>
      <c r="R62" s="487">
        <f>SUM(G62:N62)</f>
        <v>99858</v>
      </c>
      <c r="S62" s="128"/>
    </row>
    <row r="63" spans="1:19" s="88" customFormat="1" ht="25.15" customHeight="1" x14ac:dyDescent="0.25">
      <c r="A63" s="536"/>
      <c r="B63" s="537"/>
      <c r="C63" s="538" t="s">
        <v>44</v>
      </c>
      <c r="D63" s="539" t="s">
        <v>67</v>
      </c>
      <c r="E63" s="539"/>
      <c r="F63" s="540"/>
      <c r="G63" s="432"/>
      <c r="H63" s="432"/>
      <c r="I63" s="458"/>
      <c r="J63" s="420"/>
      <c r="K63" s="422"/>
      <c r="L63" s="422"/>
      <c r="M63" s="422"/>
      <c r="N63" s="422"/>
      <c r="O63" s="423"/>
      <c r="P63" s="419"/>
      <c r="Q63" s="419"/>
      <c r="R63" s="487">
        <f>SUM(G63:N63)</f>
        <v>0</v>
      </c>
      <c r="S63" s="128"/>
    </row>
    <row r="64" spans="1:19" s="88" customFormat="1" ht="25.15" customHeight="1" x14ac:dyDescent="0.25">
      <c r="A64" s="536"/>
      <c r="B64" s="537"/>
      <c r="C64" s="538" t="s">
        <v>45</v>
      </c>
      <c r="D64" s="539" t="s">
        <v>68</v>
      </c>
      <c r="E64" s="539"/>
      <c r="F64" s="540"/>
      <c r="G64" s="458"/>
      <c r="H64" s="438"/>
      <c r="I64" s="458"/>
      <c r="J64" s="420"/>
      <c r="K64" s="422"/>
      <c r="L64" s="432"/>
      <c r="M64" s="432"/>
      <c r="N64" s="432"/>
      <c r="O64" s="424"/>
      <c r="P64" s="428"/>
      <c r="Q64" s="428"/>
      <c r="R64" s="487">
        <f>SUM(G64:N64)</f>
        <v>0</v>
      </c>
      <c r="S64" s="128"/>
    </row>
    <row r="65" spans="1:19" ht="25.15" customHeight="1" x14ac:dyDescent="0.25">
      <c r="A65" s="536"/>
      <c r="B65" s="537"/>
      <c r="C65" s="538" t="s">
        <v>46</v>
      </c>
      <c r="D65" s="539" t="s">
        <v>78</v>
      </c>
      <c r="E65" s="539"/>
      <c r="F65" s="540"/>
      <c r="G65" s="432"/>
      <c r="H65" s="438"/>
      <c r="I65" s="440"/>
      <c r="J65" s="423"/>
      <c r="K65" s="423"/>
      <c r="L65" s="424"/>
      <c r="M65" s="440"/>
      <c r="N65" s="424"/>
      <c r="O65" s="424"/>
      <c r="P65" s="428"/>
      <c r="Q65" s="428"/>
      <c r="R65" s="487">
        <f>SUM(G65+H64+I65+M65)</f>
        <v>0</v>
      </c>
    </row>
    <row r="66" spans="1:19" ht="25.15" customHeight="1" x14ac:dyDescent="0.25">
      <c r="A66" s="536"/>
      <c r="B66" s="537"/>
      <c r="C66" s="538" t="s">
        <v>47</v>
      </c>
      <c r="D66" s="539" t="s">
        <v>94</v>
      </c>
      <c r="E66" s="539"/>
      <c r="F66" s="540"/>
      <c r="G66" s="436">
        <f>'Adjustments Summary'!D7+'Adjustments Summary'!D8+'Adjustments Summary'!D11</f>
        <v>63577</v>
      </c>
      <c r="H66" s="440">
        <f>'Adjustments Summary'!D10+'Adjustments Summary'!D15</f>
        <v>-0.430000000007567</v>
      </c>
      <c r="I66" s="440"/>
      <c r="J66" s="420">
        <f>'Adjustments Summary'!D9+'Adjustments Summary'!D13</f>
        <v>0</v>
      </c>
      <c r="K66" s="423"/>
      <c r="L66" s="424"/>
      <c r="M66" s="440"/>
      <c r="N66" s="424"/>
      <c r="O66" s="424"/>
      <c r="P66" s="428"/>
      <c r="Q66" s="428"/>
      <c r="R66" s="487">
        <f>SUM(G66+H66+I66+M66+J66)</f>
        <v>63576.569999999992</v>
      </c>
    </row>
    <row r="67" spans="1:19" ht="25.15" customHeight="1" x14ac:dyDescent="0.25">
      <c r="A67" s="536"/>
      <c r="B67" s="537"/>
      <c r="C67" s="538" t="s">
        <v>48</v>
      </c>
      <c r="D67" s="539" t="s">
        <v>117</v>
      </c>
      <c r="E67" s="539"/>
      <c r="F67" s="540"/>
      <c r="G67" s="436">
        <f>'Adjustments Summary'!D19+'Adjustments Summary'!D21+'Adjustments Summary'!D12+'Adjustments Summary'!D17</f>
        <v>-111562.36499999999</v>
      </c>
      <c r="H67" s="440">
        <f>'Adjustments Summary'!D22+'Adjustments Summary'!D25+'Adjustments Summary'!D16</f>
        <v>-317835.8899999999</v>
      </c>
      <c r="I67" s="440">
        <f>'Adjustments Summary'!D18</f>
        <v>384729.36499999999</v>
      </c>
      <c r="J67" s="420">
        <f>'Adjustments Summary'!D20+'Adjustments Summary'!D23+'Adjustments Summary'!D24+'Adjustments Summary'!D26+'Adjustments Summary'!D14</f>
        <v>272420.34999999986</v>
      </c>
      <c r="K67" s="423"/>
      <c r="L67" s="424"/>
      <c r="M67" s="438"/>
      <c r="N67" s="424"/>
      <c r="O67" s="438"/>
      <c r="P67" s="428"/>
      <c r="Q67" s="428"/>
      <c r="R67" s="487">
        <f>SUM(G67+H67+I67+M67+O67+J67)</f>
        <v>227751.45999999996</v>
      </c>
    </row>
    <row r="68" spans="1:19" ht="25.15" customHeight="1" x14ac:dyDescent="0.25">
      <c r="A68" s="536"/>
      <c r="B68" s="537"/>
      <c r="C68" s="538" t="s">
        <v>56</v>
      </c>
      <c r="D68" s="539" t="s">
        <v>126</v>
      </c>
      <c r="E68" s="539"/>
      <c r="F68" s="540"/>
      <c r="G68" s="436"/>
      <c r="H68" s="440"/>
      <c r="I68" s="440"/>
      <c r="J68" s="423"/>
      <c r="K68" s="423"/>
      <c r="L68" s="424"/>
      <c r="M68" s="440"/>
      <c r="N68" s="424"/>
      <c r="O68" s="440"/>
      <c r="P68" s="428"/>
      <c r="Q68" s="423"/>
      <c r="R68" s="487">
        <f>SUM(G68+H68+I68+M68+O68)</f>
        <v>0</v>
      </c>
      <c r="S68" s="453"/>
    </row>
    <row r="69" spans="1:19" ht="25.15" customHeight="1" x14ac:dyDescent="0.25">
      <c r="A69" s="536"/>
      <c r="B69" s="537"/>
      <c r="C69" s="538" t="s">
        <v>100</v>
      </c>
      <c r="D69" s="538" t="s">
        <v>92</v>
      </c>
      <c r="E69" s="538"/>
      <c r="F69" s="541"/>
      <c r="G69" s="437"/>
      <c r="H69" s="440"/>
      <c r="I69" s="440"/>
      <c r="J69" s="438"/>
      <c r="K69" s="438"/>
      <c r="L69" s="438"/>
      <c r="M69" s="440"/>
      <c r="N69" s="438"/>
      <c r="O69" s="440"/>
      <c r="P69" s="428"/>
      <c r="Q69" s="459"/>
      <c r="R69" s="542">
        <f>SUM(G69+H69+I69+J69+K69+L69+M69+N69+O69+Q69)</f>
        <v>0</v>
      </c>
      <c r="S69" s="453"/>
    </row>
    <row r="70" spans="1:19" ht="25.15" customHeight="1" x14ac:dyDescent="0.2">
      <c r="A70" s="543"/>
      <c r="B70" s="522"/>
      <c r="C70" s="544" t="s">
        <v>131</v>
      </c>
      <c r="D70" s="545" t="s">
        <v>77</v>
      </c>
      <c r="E70" s="522"/>
      <c r="F70" s="545"/>
      <c r="G70" s="501">
        <f>SUM(G61:G69)</f>
        <v>51872.635000000009</v>
      </c>
      <c r="H70" s="501">
        <f>SUM(H61:H69)</f>
        <v>-317836.31999999989</v>
      </c>
      <c r="I70" s="501">
        <f>SUM(I61:I69)</f>
        <v>384729.36499999999</v>
      </c>
      <c r="J70" s="501">
        <f>SUM(J59+J60+J61+J62+J63+J64+J69)+J65+J66+J67</f>
        <v>272420.34999999986</v>
      </c>
      <c r="K70" s="501">
        <f>SUM(K60+K61+K62+K63+K64+K69)</f>
        <v>0</v>
      </c>
      <c r="L70" s="501">
        <f>SUM(L61+L62+L63+L64+L69)</f>
        <v>0</v>
      </c>
      <c r="M70" s="501">
        <f>SUM(M61:M69)</f>
        <v>0</v>
      </c>
      <c r="N70" s="501">
        <f>SUM(N61+N62+N63+N64+N69)</f>
        <v>0</v>
      </c>
      <c r="O70" s="501">
        <f>SUM(O67:O69)</f>
        <v>0</v>
      </c>
      <c r="P70" s="501">
        <f>P58</f>
        <v>0</v>
      </c>
      <c r="Q70" s="501">
        <f>Q69</f>
        <v>0</v>
      </c>
      <c r="R70" s="546">
        <f>SUM(G70:Q70)</f>
        <v>391186.02999999997</v>
      </c>
    </row>
    <row r="71" spans="1:19" ht="25.15" customHeight="1" x14ac:dyDescent="0.25">
      <c r="A71" s="547">
        <v>6</v>
      </c>
      <c r="B71" s="482" t="s">
        <v>294</v>
      </c>
      <c r="C71" s="273"/>
      <c r="D71" s="273"/>
      <c r="E71" s="273"/>
      <c r="F71" s="483"/>
      <c r="G71" s="430"/>
      <c r="H71" s="415"/>
      <c r="I71" s="415"/>
      <c r="J71" s="415"/>
      <c r="K71" s="415"/>
      <c r="L71" s="415"/>
      <c r="M71" s="415"/>
      <c r="N71" s="415"/>
      <c r="O71" s="425"/>
      <c r="P71" s="426"/>
      <c r="Q71" s="426"/>
      <c r="R71" s="457"/>
    </row>
    <row r="72" spans="1:19" ht="25.15" customHeight="1" x14ac:dyDescent="0.25">
      <c r="A72" s="147"/>
      <c r="B72" s="485"/>
      <c r="C72" s="149" t="s">
        <v>39</v>
      </c>
      <c r="D72" s="305" t="s">
        <v>81</v>
      </c>
      <c r="E72" s="305"/>
      <c r="F72" s="306"/>
      <c r="G72" s="431"/>
      <c r="H72" s="423"/>
      <c r="I72" s="423"/>
      <c r="J72" s="423"/>
      <c r="K72" s="423"/>
      <c r="L72" s="423"/>
      <c r="M72" s="423"/>
      <c r="N72" s="423"/>
      <c r="O72" s="424"/>
      <c r="P72" s="422">
        <f>SUM( P23+P28+P56+P70)</f>
        <v>4324525.7699999996</v>
      </c>
      <c r="Q72" s="486"/>
      <c r="R72" s="487">
        <f>P72</f>
        <v>4324525.7699999996</v>
      </c>
    </row>
    <row r="73" spans="1:19" ht="25.15" customHeight="1" x14ac:dyDescent="0.25">
      <c r="A73" s="147"/>
      <c r="B73" s="485"/>
      <c r="C73" s="488" t="s">
        <v>40</v>
      </c>
      <c r="D73" s="305" t="s">
        <v>74</v>
      </c>
      <c r="E73" s="305"/>
      <c r="F73" s="306"/>
      <c r="G73" s="431"/>
      <c r="H73" s="423"/>
      <c r="I73" s="423"/>
      <c r="J73" s="422">
        <f t="shared" ref="J73:J78" si="1">J13-J31+J59</f>
        <v>0</v>
      </c>
      <c r="K73" s="423"/>
      <c r="L73" s="423"/>
      <c r="M73" s="423"/>
      <c r="N73" s="423"/>
      <c r="O73" s="423"/>
      <c r="P73" s="416"/>
      <c r="Q73" s="416"/>
      <c r="R73" s="487">
        <f>J73</f>
        <v>0</v>
      </c>
    </row>
    <row r="74" spans="1:19" ht="25.15" customHeight="1" x14ac:dyDescent="0.25">
      <c r="A74" s="147"/>
      <c r="B74" s="485"/>
      <c r="C74" s="488" t="s">
        <v>41</v>
      </c>
      <c r="D74" s="305" t="s">
        <v>64</v>
      </c>
      <c r="E74" s="305"/>
      <c r="F74" s="306"/>
      <c r="G74" s="431"/>
      <c r="H74" s="423"/>
      <c r="I74" s="423"/>
      <c r="J74" s="422">
        <f t="shared" si="1"/>
        <v>0</v>
      </c>
      <c r="K74" s="422">
        <f t="shared" ref="K74:K79" si="2">K14-K32+K60</f>
        <v>0</v>
      </c>
      <c r="L74" s="423"/>
      <c r="M74" s="423"/>
      <c r="N74" s="423"/>
      <c r="O74" s="423"/>
      <c r="P74" s="419"/>
      <c r="Q74" s="419"/>
      <c r="R74" s="487">
        <f>SUM(J74:K74)</f>
        <v>0</v>
      </c>
    </row>
    <row r="75" spans="1:19" s="88" customFormat="1" ht="25.15" customHeight="1" x14ac:dyDescent="0.25">
      <c r="A75" s="147"/>
      <c r="B75" s="485"/>
      <c r="C75" s="149" t="s">
        <v>42</v>
      </c>
      <c r="D75" s="305" t="s">
        <v>65</v>
      </c>
      <c r="E75" s="305"/>
      <c r="F75" s="306"/>
      <c r="G75" s="432">
        <f>SUM(G15-G33+G61)</f>
        <v>0</v>
      </c>
      <c r="H75" s="432">
        <f t="shared" ref="G75:I79" si="3">SUM(H15-H33+H61)</f>
        <v>0</v>
      </c>
      <c r="I75" s="432">
        <f t="shared" si="3"/>
        <v>0</v>
      </c>
      <c r="J75" s="422">
        <f t="shared" si="1"/>
        <v>0</v>
      </c>
      <c r="K75" s="422">
        <f t="shared" si="2"/>
        <v>0</v>
      </c>
      <c r="L75" s="432">
        <f>SUM(L15-L33+L61)</f>
        <v>0</v>
      </c>
      <c r="M75" s="422">
        <f t="shared" ref="M75:N78" si="4">M15-M33+M61</f>
        <v>0</v>
      </c>
      <c r="N75" s="422">
        <f t="shared" si="4"/>
        <v>0</v>
      </c>
      <c r="O75" s="431"/>
      <c r="P75" s="419"/>
      <c r="Q75" s="419"/>
      <c r="R75" s="487">
        <f>SUM(G75:N75)</f>
        <v>0</v>
      </c>
      <c r="S75" s="128"/>
    </row>
    <row r="76" spans="1:19" s="88" customFormat="1" ht="25.15" customHeight="1" x14ac:dyDescent="0.25">
      <c r="A76" s="147"/>
      <c r="B76" s="485"/>
      <c r="C76" s="149" t="s">
        <v>43</v>
      </c>
      <c r="D76" s="305" t="s">
        <v>66</v>
      </c>
      <c r="E76" s="305"/>
      <c r="F76" s="306"/>
      <c r="G76" s="432">
        <f t="shared" si="3"/>
        <v>0</v>
      </c>
      <c r="H76" s="432">
        <f t="shared" si="3"/>
        <v>0</v>
      </c>
      <c r="I76" s="432">
        <f t="shared" si="3"/>
        <v>0</v>
      </c>
      <c r="J76" s="422">
        <f t="shared" si="1"/>
        <v>0</v>
      </c>
      <c r="K76" s="422">
        <f t="shared" si="2"/>
        <v>0</v>
      </c>
      <c r="L76" s="432">
        <f>SUM(L16-L34+L62)</f>
        <v>0</v>
      </c>
      <c r="M76" s="422">
        <f t="shared" si="4"/>
        <v>0</v>
      </c>
      <c r="N76" s="422">
        <f t="shared" si="4"/>
        <v>0</v>
      </c>
      <c r="O76" s="431"/>
      <c r="P76" s="419"/>
      <c r="Q76" s="419"/>
      <c r="R76" s="487">
        <f>SUM(G76:N76)</f>
        <v>0</v>
      </c>
      <c r="S76" s="128"/>
    </row>
    <row r="77" spans="1:19" s="88" customFormat="1" ht="25.15" customHeight="1" x14ac:dyDescent="0.25">
      <c r="A77" s="147"/>
      <c r="B77" s="485"/>
      <c r="C77" s="149" t="s">
        <v>44</v>
      </c>
      <c r="D77" s="305" t="s">
        <v>67</v>
      </c>
      <c r="E77" s="305"/>
      <c r="F77" s="306"/>
      <c r="G77" s="432">
        <f t="shared" si="3"/>
        <v>0</v>
      </c>
      <c r="H77" s="432">
        <f t="shared" si="3"/>
        <v>0</v>
      </c>
      <c r="I77" s="432">
        <f t="shared" si="3"/>
        <v>0</v>
      </c>
      <c r="J77" s="422">
        <f t="shared" si="1"/>
        <v>0</v>
      </c>
      <c r="K77" s="422">
        <f t="shared" si="2"/>
        <v>0</v>
      </c>
      <c r="L77" s="432">
        <f>SUM(L17-L35+L63)</f>
        <v>0</v>
      </c>
      <c r="M77" s="422">
        <f t="shared" si="4"/>
        <v>0</v>
      </c>
      <c r="N77" s="422">
        <f t="shared" si="4"/>
        <v>0</v>
      </c>
      <c r="O77" s="423"/>
      <c r="P77" s="419"/>
      <c r="Q77" s="419"/>
      <c r="R77" s="487">
        <f>SUM(G77:N77)</f>
        <v>0</v>
      </c>
      <c r="S77" s="128"/>
    </row>
    <row r="78" spans="1:19" s="88" customFormat="1" ht="25.15" customHeight="1" x14ac:dyDescent="0.25">
      <c r="A78" s="147"/>
      <c r="B78" s="485"/>
      <c r="C78" s="149" t="s">
        <v>45</v>
      </c>
      <c r="D78" s="491" t="s">
        <v>68</v>
      </c>
      <c r="E78" s="491"/>
      <c r="F78" s="492"/>
      <c r="G78" s="432">
        <f t="shared" si="3"/>
        <v>0</v>
      </c>
      <c r="H78" s="432">
        <f t="shared" si="3"/>
        <v>0</v>
      </c>
      <c r="I78" s="432">
        <f t="shared" si="3"/>
        <v>0</v>
      </c>
      <c r="J78" s="422">
        <f t="shared" si="1"/>
        <v>0</v>
      </c>
      <c r="K78" s="422">
        <f t="shared" si="2"/>
        <v>0</v>
      </c>
      <c r="L78" s="432">
        <f>SUM(L18-L36+L64)</f>
        <v>0</v>
      </c>
      <c r="M78" s="422">
        <f t="shared" si="4"/>
        <v>0</v>
      </c>
      <c r="N78" s="422">
        <f t="shared" si="4"/>
        <v>0</v>
      </c>
      <c r="O78" s="424"/>
      <c r="P78" s="428"/>
      <c r="Q78" s="428"/>
      <c r="R78" s="487">
        <f>SUM(G78:N78)</f>
        <v>0</v>
      </c>
      <c r="S78" s="128"/>
    </row>
    <row r="79" spans="1:19" ht="25.15" customHeight="1" x14ac:dyDescent="0.25">
      <c r="A79" s="147"/>
      <c r="B79" s="485"/>
      <c r="C79" s="149" t="s">
        <v>46</v>
      </c>
      <c r="D79" s="491" t="s">
        <v>78</v>
      </c>
      <c r="E79" s="491"/>
      <c r="F79" s="492"/>
      <c r="G79" s="432">
        <f t="shared" si="3"/>
        <v>0</v>
      </c>
      <c r="H79" s="432">
        <f>SUM(H19-H37+H65)</f>
        <v>0</v>
      </c>
      <c r="I79" s="432">
        <f t="shared" si="3"/>
        <v>0</v>
      </c>
      <c r="J79" s="422">
        <f>J19-J37+J65</f>
        <v>0</v>
      </c>
      <c r="K79" s="422">
        <f t="shared" si="2"/>
        <v>0</v>
      </c>
      <c r="L79" s="423"/>
      <c r="M79" s="420">
        <f>M19-M37+M65</f>
        <v>0</v>
      </c>
      <c r="N79" s="423"/>
      <c r="O79" s="424"/>
      <c r="P79" s="428"/>
      <c r="Q79" s="428"/>
      <c r="R79" s="487">
        <f>SUM(G79+H79+I79+M79+J79)</f>
        <v>0</v>
      </c>
    </row>
    <row r="80" spans="1:19" ht="25.15" customHeight="1" x14ac:dyDescent="0.25">
      <c r="A80" s="147"/>
      <c r="B80" s="485"/>
      <c r="C80" s="149" t="s">
        <v>47</v>
      </c>
      <c r="D80" s="491" t="s">
        <v>94</v>
      </c>
      <c r="E80" s="491"/>
      <c r="F80" s="492"/>
      <c r="G80" s="432">
        <f>SUM(G20-G38+G53+G66)</f>
        <v>0</v>
      </c>
      <c r="H80" s="432">
        <f>SUM(H20-H38+H53+H66)</f>
        <v>-0.430000000007567</v>
      </c>
      <c r="I80" s="432">
        <f t="shared" ref="G80:J81" si="5">SUM(I20-I38+I53+I66)</f>
        <v>548945.1100000001</v>
      </c>
      <c r="J80" s="432">
        <f t="shared" si="5"/>
        <v>0</v>
      </c>
      <c r="K80" s="432">
        <f>SUM(K20-K38+K53+K66)</f>
        <v>0</v>
      </c>
      <c r="L80" s="423"/>
      <c r="M80" s="420">
        <f>M20-M38+M66</f>
        <v>0</v>
      </c>
      <c r="N80" s="423"/>
      <c r="O80" s="424"/>
      <c r="P80" s="428"/>
      <c r="Q80" s="428"/>
      <c r="R80" s="487">
        <f>SUM(G80+H80+I80+M80+J80)</f>
        <v>548944.68000000005</v>
      </c>
    </row>
    <row r="81" spans="1:21" ht="25.15" customHeight="1" x14ac:dyDescent="0.25">
      <c r="A81" s="147"/>
      <c r="B81" s="485"/>
      <c r="C81" s="149" t="s">
        <v>48</v>
      </c>
      <c r="D81" s="491" t="s">
        <v>117</v>
      </c>
      <c r="E81" s="491"/>
      <c r="F81" s="492"/>
      <c r="G81" s="432">
        <f t="shared" si="5"/>
        <v>-1.6298145055770874E-9</v>
      </c>
      <c r="H81" s="432">
        <f t="shared" si="5"/>
        <v>13729.110000000102</v>
      </c>
      <c r="I81" s="432">
        <f t="shared" si="5"/>
        <v>1990589.365</v>
      </c>
      <c r="J81" s="422">
        <f>J21-J39+J67</f>
        <v>0</v>
      </c>
      <c r="K81" s="422">
        <f>K21-K39+K67</f>
        <v>0</v>
      </c>
      <c r="L81" s="423"/>
      <c r="M81" s="422">
        <f>M21-M39+M67</f>
        <v>0</v>
      </c>
      <c r="N81" s="423"/>
      <c r="O81" s="438">
        <f>O21-O39+O67</f>
        <v>0</v>
      </c>
      <c r="P81" s="428"/>
      <c r="Q81" s="428"/>
      <c r="R81" s="487">
        <f>SUM(G81+H81+I81+M81+O81)</f>
        <v>2004318.4749999985</v>
      </c>
    </row>
    <row r="82" spans="1:21" ht="25.15" customHeight="1" x14ac:dyDescent="0.25">
      <c r="A82" s="147"/>
      <c r="B82" s="485"/>
      <c r="C82" s="149" t="s">
        <v>56</v>
      </c>
      <c r="D82" s="491" t="s">
        <v>126</v>
      </c>
      <c r="E82" s="491"/>
      <c r="F82" s="492"/>
      <c r="G82" s="439">
        <f>SUM(G26-G40+G55+G68)</f>
        <v>13302894.947488651</v>
      </c>
      <c r="H82" s="439">
        <f>SUM(H26-H40+H55+H68)</f>
        <v>329088.69925000146</v>
      </c>
      <c r="I82" s="439">
        <f>SUM(I26-I40+I55+I68)</f>
        <v>1308024.6000000001</v>
      </c>
      <c r="J82" s="439">
        <f>SUM(J26-J40+J55+J68)</f>
        <v>2.3283064365386963E-10</v>
      </c>
      <c r="K82" s="439">
        <f>SUM(K26-K40+K55+K68)</f>
        <v>0</v>
      </c>
      <c r="L82" s="460"/>
      <c r="M82" s="439">
        <f>M26-M40+M68</f>
        <v>0</v>
      </c>
      <c r="N82" s="460"/>
      <c r="O82" s="438">
        <f>O26-O40+O68</f>
        <v>0</v>
      </c>
      <c r="P82" s="428"/>
      <c r="Q82" s="428"/>
      <c r="R82" s="487">
        <f>SUM(G82+H82+I82+M82+O82)</f>
        <v>14940008.246738652</v>
      </c>
    </row>
    <row r="83" spans="1:21" ht="25.15" customHeight="1" thickBot="1" x14ac:dyDescent="0.25">
      <c r="A83" s="548"/>
      <c r="B83" s="498"/>
      <c r="C83" s="488" t="s">
        <v>100</v>
      </c>
      <c r="D83" s="491" t="s">
        <v>92</v>
      </c>
      <c r="E83" s="491"/>
      <c r="F83" s="492"/>
      <c r="G83" s="460"/>
      <c r="H83" s="460"/>
      <c r="I83" s="460"/>
      <c r="J83" s="460"/>
      <c r="K83" s="460"/>
      <c r="L83" s="460"/>
      <c r="M83" s="460"/>
      <c r="N83" s="460"/>
      <c r="O83" s="460"/>
      <c r="P83" s="428"/>
      <c r="Q83" s="549">
        <f>Q23+Q28-Q48+Q70</f>
        <v>596529</v>
      </c>
      <c r="R83" s="497">
        <f>Q83</f>
        <v>596529</v>
      </c>
    </row>
    <row r="84" spans="1:21" ht="25.15" customHeight="1" thickBot="1" x14ac:dyDescent="0.25">
      <c r="A84" s="550"/>
      <c r="B84" s="551"/>
      <c r="C84" s="552" t="s">
        <v>131</v>
      </c>
      <c r="D84" s="553"/>
      <c r="E84" s="551"/>
      <c r="F84" s="554" t="s">
        <v>102</v>
      </c>
      <c r="G84" s="555">
        <f>SUM(G75:G82)</f>
        <v>13302894.947488649</v>
      </c>
      <c r="H84" s="555">
        <f>SUM(H75:H82)</f>
        <v>342817.37925000157</v>
      </c>
      <c r="I84" s="555">
        <f>SUM(I75:I82)</f>
        <v>3847559.0750000002</v>
      </c>
      <c r="J84" s="555">
        <f>SUM(J75:J82)</f>
        <v>2.3283064365386963E-10</v>
      </c>
      <c r="K84" s="555">
        <f>SUM(K74:K82)</f>
        <v>0</v>
      </c>
      <c r="L84" s="555">
        <f>SUM(L75:L78)</f>
        <v>0</v>
      </c>
      <c r="M84" s="555">
        <f>SUM(M75:M82)</f>
        <v>0</v>
      </c>
      <c r="N84" s="555">
        <f>SUM(N75:N78)</f>
        <v>0</v>
      </c>
      <c r="O84" s="555">
        <f>SUM(O81:O82)</f>
        <v>0</v>
      </c>
      <c r="P84" s="555">
        <f>P72</f>
        <v>4324525.7699999996</v>
      </c>
      <c r="Q84" s="556">
        <f>Q83</f>
        <v>596529</v>
      </c>
      <c r="R84" s="557">
        <f>SUM(G84:Q84)</f>
        <v>22414326.171738651</v>
      </c>
      <c r="S84" s="128"/>
    </row>
    <row r="85" spans="1:21" ht="29.25" customHeight="1" x14ac:dyDescent="0.2">
      <c r="A85" s="128"/>
      <c r="B85" s="128"/>
      <c r="C85" s="421"/>
      <c r="D85" s="128"/>
      <c r="E85" s="128"/>
      <c r="F85" s="128"/>
      <c r="G85" s="461"/>
      <c r="H85" s="461"/>
      <c r="I85" s="461"/>
      <c r="J85" s="461"/>
      <c r="K85" s="461"/>
      <c r="L85" s="461"/>
      <c r="M85" s="461"/>
      <c r="N85" s="461"/>
      <c r="O85" s="461"/>
      <c r="P85" s="461"/>
      <c r="Q85" s="461"/>
      <c r="R85" s="461"/>
      <c r="S85" s="462"/>
      <c r="T85" s="93"/>
      <c r="U85" s="89"/>
    </row>
    <row r="86" spans="1:21" ht="25.15" customHeight="1" thickBot="1" x14ac:dyDescent="0.25">
      <c r="A86" s="421"/>
      <c r="B86" s="421"/>
      <c r="C86" s="421"/>
      <c r="D86" s="421"/>
      <c r="E86" s="421"/>
      <c r="F86" s="421"/>
      <c r="G86" s="463"/>
      <c r="H86" s="463"/>
      <c r="I86" s="463"/>
      <c r="J86" s="461"/>
      <c r="K86" s="461"/>
      <c r="L86" s="461"/>
      <c r="M86" s="461"/>
      <c r="N86" s="461"/>
      <c r="O86" s="461"/>
      <c r="P86" s="461" t="s">
        <v>102</v>
      </c>
      <c r="Q86" s="461"/>
      <c r="R86" s="461"/>
      <c r="S86" s="461"/>
      <c r="T86" s="92"/>
      <c r="U86" s="89"/>
    </row>
    <row r="87" spans="1:21" ht="25.15" customHeight="1" thickBot="1" x14ac:dyDescent="0.3">
      <c r="A87" s="568" t="s">
        <v>295</v>
      </c>
      <c r="B87" s="569"/>
      <c r="C87" s="570"/>
      <c r="D87" s="571"/>
      <c r="E87" s="407"/>
      <c r="H87" s="464"/>
      <c r="I87" s="464"/>
      <c r="J87" s="421"/>
      <c r="K87" s="109"/>
      <c r="L87" s="109"/>
      <c r="M87" s="558" t="s">
        <v>209</v>
      </c>
      <c r="N87" s="559"/>
      <c r="O87" s="559"/>
      <c r="P87" s="559"/>
      <c r="Q87" s="559"/>
      <c r="R87" s="560"/>
      <c r="S87" s="461"/>
      <c r="T87" s="92"/>
      <c r="U87" s="89"/>
    </row>
    <row r="88" spans="1:21" ht="22.15" customHeight="1" x14ac:dyDescent="0.2">
      <c r="A88" s="572" t="s">
        <v>127</v>
      </c>
      <c r="B88" s="573"/>
      <c r="C88" s="573"/>
      <c r="D88" s="573"/>
      <c r="E88" s="573"/>
      <c r="F88" s="574"/>
      <c r="G88" s="575" t="s">
        <v>84</v>
      </c>
      <c r="H88" s="465"/>
      <c r="I88" s="465"/>
      <c r="J88" s="466"/>
      <c r="K88" s="467"/>
      <c r="L88" s="467"/>
      <c r="M88" s="561" t="s">
        <v>85</v>
      </c>
      <c r="N88" s="468" t="s">
        <v>281</v>
      </c>
      <c r="O88" s="562"/>
      <c r="P88" s="562"/>
      <c r="Q88" s="562"/>
      <c r="R88" s="563"/>
      <c r="S88" s="461"/>
      <c r="T88" s="92"/>
      <c r="U88" s="89"/>
    </row>
    <row r="89" spans="1:21" ht="20.65" customHeight="1" x14ac:dyDescent="0.2">
      <c r="A89" s="576" t="s">
        <v>165</v>
      </c>
      <c r="B89" s="577"/>
      <c r="C89" s="577"/>
      <c r="D89" s="577"/>
      <c r="E89" s="577"/>
      <c r="F89" s="577"/>
      <c r="G89" s="526">
        <f>'[38]RER Summary'!$P$55</f>
        <v>2569755.9081446072</v>
      </c>
      <c r="H89" s="469"/>
      <c r="I89" s="469"/>
      <c r="J89" s="461"/>
      <c r="K89" s="470"/>
      <c r="L89" s="470"/>
      <c r="M89" s="561" t="s">
        <v>86</v>
      </c>
      <c r="N89" s="468" t="s">
        <v>282</v>
      </c>
      <c r="O89" s="562"/>
      <c r="P89" s="562"/>
      <c r="Q89" s="562"/>
      <c r="R89" s="563"/>
      <c r="S89" s="421"/>
      <c r="T89" s="89"/>
      <c r="U89" s="89"/>
    </row>
    <row r="90" spans="1:21" ht="21" customHeight="1" x14ac:dyDescent="0.2">
      <c r="A90" s="467"/>
      <c r="B90" s="467"/>
      <c r="C90" s="467"/>
      <c r="D90" s="467"/>
      <c r="E90" s="467"/>
      <c r="F90" s="467"/>
      <c r="G90" s="461"/>
      <c r="H90" s="461"/>
      <c r="I90" s="461"/>
      <c r="J90" s="461"/>
      <c r="K90" s="471"/>
      <c r="L90" s="471"/>
      <c r="M90" s="564" t="s">
        <v>87</v>
      </c>
      <c r="N90" s="468" t="s">
        <v>283</v>
      </c>
      <c r="O90" s="562"/>
      <c r="P90" s="562"/>
      <c r="Q90" s="562"/>
      <c r="R90" s="563"/>
      <c r="S90" s="421"/>
      <c r="T90" s="89"/>
      <c r="U90" s="89"/>
    </row>
    <row r="91" spans="1:21" ht="20.100000000000001" customHeight="1" thickBot="1" x14ac:dyDescent="0.25">
      <c r="H91" s="461"/>
      <c r="I91" s="461"/>
      <c r="J91" s="461"/>
      <c r="K91" s="471"/>
      <c r="L91" s="471"/>
      <c r="M91" s="565" t="s">
        <v>88</v>
      </c>
      <c r="N91" s="472" t="s">
        <v>284</v>
      </c>
      <c r="O91" s="566"/>
      <c r="P91" s="566"/>
      <c r="Q91" s="566"/>
      <c r="R91" s="567"/>
    </row>
    <row r="92" spans="1:21" ht="22.15" customHeight="1" x14ac:dyDescent="0.2">
      <c r="M92" s="421"/>
      <c r="N92" s="421"/>
      <c r="O92" s="421"/>
      <c r="P92" s="421"/>
      <c r="Q92" s="421"/>
      <c r="R92" s="421"/>
    </row>
    <row r="93" spans="1:21" x14ac:dyDescent="0.2">
      <c r="M93" s="421"/>
      <c r="N93" s="421"/>
      <c r="O93" s="421"/>
      <c r="P93" s="421"/>
      <c r="Q93" s="421"/>
      <c r="R93" s="421"/>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hyperlinks>
    <hyperlink ref="N91" r:id="rId4" xr:uid="{00000000-0004-0000-0A00-000000000000}"/>
  </hyperlinks>
  <printOptions horizontalCentered="1"/>
  <pageMargins left="0.5" right="0.5" top="0.75" bottom="0.75" header="0.5" footer="0.5"/>
  <pageSetup scale="42" fitToWidth="0" fitToHeight="2" orientation="landscape" r:id="rId5"/>
  <headerFooter alignWithMargins="0">
    <oddHeader>&amp;R&amp;"Arial,Bold"&amp;12Enclosure 3</oddHeader>
    <oddFooter>&amp;LUpdated: 11/09/2016</oddFooter>
  </headerFooter>
  <rowBreaks count="1" manualBreakCount="1">
    <brk id="51" max="17" man="1"/>
  </rowBreaks>
  <ignoredErrors>
    <ignoredError sqref="P5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38"/>
  <sheetViews>
    <sheetView tabSelected="1" topLeftCell="A25" workbookViewId="0">
      <selection activeCell="A29" sqref="A29:A30"/>
    </sheetView>
  </sheetViews>
  <sheetFormatPr defaultColWidth="0" defaultRowHeight="14.25" zeroHeight="1" x14ac:dyDescent="0.2"/>
  <cols>
    <col min="1" max="1" width="9.42578125" style="82" customWidth="1"/>
    <col min="2" max="2" width="20.42578125" style="82" customWidth="1"/>
    <col min="3" max="3" width="11.7109375" style="90" customWidth="1"/>
    <col min="4" max="4" width="16.42578125" style="82" customWidth="1"/>
    <col min="5" max="5" width="65.7109375" style="82" customWidth="1"/>
    <col min="6" max="6" width="12" style="82" customWidth="1"/>
    <col min="7" max="13" width="12" style="82" hidden="1" customWidth="1"/>
    <col min="14" max="16384" width="0" style="82" hidden="1"/>
  </cols>
  <sheetData>
    <row r="1" spans="1:13" ht="19.899999999999999" customHeight="1" x14ac:dyDescent="0.25">
      <c r="A1" s="297" t="s">
        <v>203</v>
      </c>
      <c r="B1" s="298"/>
      <c r="C1" s="298"/>
      <c r="D1" s="298"/>
      <c r="E1" s="146"/>
    </row>
    <row r="2" spans="1:13" ht="19.899999999999999" customHeight="1" x14ac:dyDescent="0.25">
      <c r="A2" s="319" t="s">
        <v>204</v>
      </c>
      <c r="B2" s="383"/>
      <c r="C2" s="320"/>
      <c r="D2" s="320"/>
      <c r="E2" s="150"/>
    </row>
    <row r="3" spans="1:13" ht="19.899999999999999" customHeight="1" thickBot="1" x14ac:dyDescent="0.3">
      <c r="A3" s="384" t="s">
        <v>205</v>
      </c>
      <c r="B3" s="385"/>
      <c r="C3" s="386"/>
      <c r="D3" s="386"/>
      <c r="E3" s="387"/>
    </row>
    <row r="4" spans="1:13" ht="19.899999999999999" customHeight="1" thickBot="1" x14ac:dyDescent="0.3">
      <c r="A4" s="388" t="s">
        <v>8</v>
      </c>
      <c r="B4" s="389" t="str">
        <f>'CSS '!B4</f>
        <v>San Francisco County</v>
      </c>
      <c r="C4" s="390"/>
      <c r="D4" s="391" t="s">
        <v>9</v>
      </c>
      <c r="E4" s="392">
        <f>'CSS '!G4</f>
        <v>42914</v>
      </c>
      <c r="F4" s="88"/>
    </row>
    <row r="5" spans="1:13" ht="40.15" customHeight="1" thickBot="1" x14ac:dyDescent="0.25">
      <c r="A5" s="393" t="s">
        <v>223</v>
      </c>
      <c r="B5" s="394"/>
      <c r="C5" s="395" t="s">
        <v>83</v>
      </c>
      <c r="D5" s="396" t="s">
        <v>84</v>
      </c>
      <c r="E5" s="397" t="s">
        <v>222</v>
      </c>
    </row>
    <row r="6" spans="1:13" ht="35.65" customHeight="1" x14ac:dyDescent="0.2">
      <c r="A6" s="80" t="s">
        <v>269</v>
      </c>
      <c r="B6" s="398"/>
      <c r="C6" s="121" t="s">
        <v>287</v>
      </c>
      <c r="D6" s="122">
        <f>'[38]RER Summary'!$Q$60*-1</f>
        <v>99858</v>
      </c>
      <c r="E6" s="79" t="s">
        <v>286</v>
      </c>
    </row>
    <row r="7" spans="1:13" ht="35.65" customHeight="1" x14ac:dyDescent="0.2">
      <c r="A7" s="80" t="s">
        <v>269</v>
      </c>
      <c r="B7" s="398"/>
      <c r="C7" s="121" t="s">
        <v>268</v>
      </c>
      <c r="D7" s="122">
        <f>'[38]RER Summary'!$T$60*-1</f>
        <v>63577</v>
      </c>
      <c r="E7" s="79" t="s">
        <v>288</v>
      </c>
    </row>
    <row r="8" spans="1:13" ht="35.65" customHeight="1" x14ac:dyDescent="0.2">
      <c r="A8" s="80" t="s">
        <v>269</v>
      </c>
      <c r="B8" s="398"/>
      <c r="C8" s="121" t="s">
        <v>268</v>
      </c>
      <c r="D8" s="122">
        <f>SUM('[38]Adjustments to Prior Years'!$E$7:$E$9)-SUM('[38]Adjustments to Prior Years'!$F$7:$F$9)</f>
        <v>-37952</v>
      </c>
      <c r="E8" s="79" t="s">
        <v>270</v>
      </c>
    </row>
    <row r="9" spans="1:13" ht="29.1" customHeight="1" x14ac:dyDescent="0.2">
      <c r="A9" s="80" t="s">
        <v>267</v>
      </c>
      <c r="B9" s="398"/>
      <c r="C9" s="121" t="s">
        <v>268</v>
      </c>
      <c r="D9" s="122">
        <f>'[38]Adjustments to Prior Years'!$E$10-'[38]Adjustments to Prior Years'!$F$10</f>
        <v>-1</v>
      </c>
      <c r="E9" s="79" t="s">
        <v>270</v>
      </c>
    </row>
    <row r="10" spans="1:13" ht="30.6" customHeight="1" x14ac:dyDescent="0.2">
      <c r="A10" s="80" t="s">
        <v>266</v>
      </c>
      <c r="B10" s="398"/>
      <c r="C10" s="121" t="s">
        <v>268</v>
      </c>
      <c r="D10" s="122">
        <f>SUM('[38]Adjustments to Prior Years'!$E$11:$E$15)-SUM('[38]Adjustments to Prior Years'!$F$11:$F$15)</f>
        <v>65746.569999999992</v>
      </c>
      <c r="E10" s="79" t="s">
        <v>270</v>
      </c>
    </row>
    <row r="11" spans="1:13" ht="71.25" customHeight="1" x14ac:dyDescent="0.2">
      <c r="A11" s="80" t="s">
        <v>269</v>
      </c>
      <c r="B11" s="398"/>
      <c r="C11" s="121" t="s">
        <v>268</v>
      </c>
      <c r="D11" s="122">
        <v>37952</v>
      </c>
      <c r="E11" s="123" t="s">
        <v>279</v>
      </c>
    </row>
    <row r="12" spans="1:13" ht="71.25" customHeight="1" x14ac:dyDescent="0.2">
      <c r="A12" s="80" t="s">
        <v>269</v>
      </c>
      <c r="B12" s="398"/>
      <c r="C12" s="121" t="s">
        <v>272</v>
      </c>
      <c r="D12" s="122">
        <v>-37952</v>
      </c>
      <c r="E12" s="123" t="s">
        <v>279</v>
      </c>
    </row>
    <row r="13" spans="1:13" ht="71.25" x14ac:dyDescent="0.2">
      <c r="A13" s="80" t="s">
        <v>267</v>
      </c>
      <c r="B13" s="398"/>
      <c r="C13" s="121" t="s">
        <v>268</v>
      </c>
      <c r="D13" s="122">
        <v>1</v>
      </c>
      <c r="E13" s="123" t="s">
        <v>279</v>
      </c>
      <c r="F13" s="124"/>
      <c r="G13" s="124"/>
      <c r="H13" s="124"/>
      <c r="I13" s="124"/>
      <c r="J13" s="124"/>
      <c r="K13" s="124"/>
      <c r="L13" s="124"/>
      <c r="M13" s="124"/>
    </row>
    <row r="14" spans="1:13" ht="71.25" x14ac:dyDescent="0.2">
      <c r="A14" s="80" t="s">
        <v>267</v>
      </c>
      <c r="B14" s="398"/>
      <c r="C14" s="121" t="s">
        <v>272</v>
      </c>
      <c r="D14" s="122">
        <v>-1</v>
      </c>
      <c r="E14" s="123" t="s">
        <v>279</v>
      </c>
      <c r="F14" s="124"/>
      <c r="G14" s="124"/>
      <c r="H14" s="124"/>
      <c r="I14" s="124"/>
      <c r="J14" s="124"/>
      <c r="K14" s="124"/>
      <c r="L14" s="124"/>
      <c r="M14" s="124"/>
    </row>
    <row r="15" spans="1:13" ht="71.25" x14ac:dyDescent="0.2">
      <c r="A15" s="80" t="s">
        <v>266</v>
      </c>
      <c r="B15" s="398"/>
      <c r="C15" s="121" t="s">
        <v>268</v>
      </c>
      <c r="D15" s="122">
        <v>-65747</v>
      </c>
      <c r="E15" s="123" t="s">
        <v>280</v>
      </c>
      <c r="F15" s="124"/>
      <c r="G15" s="124"/>
      <c r="H15" s="124"/>
      <c r="I15" s="124"/>
      <c r="J15" s="124"/>
      <c r="K15" s="124"/>
      <c r="L15" s="124"/>
      <c r="M15" s="124"/>
    </row>
    <row r="16" spans="1:13" ht="57.75" customHeight="1" x14ac:dyDescent="0.2">
      <c r="A16" s="80" t="s">
        <v>266</v>
      </c>
      <c r="B16" s="398"/>
      <c r="C16" s="121" t="s">
        <v>272</v>
      </c>
      <c r="D16" s="122">
        <v>65747</v>
      </c>
      <c r="E16" s="123" t="s">
        <v>280</v>
      </c>
      <c r="F16" s="124"/>
      <c r="G16" s="124"/>
      <c r="H16" s="124"/>
      <c r="I16" s="124"/>
      <c r="J16" s="124"/>
      <c r="K16" s="124"/>
      <c r="L16" s="124"/>
      <c r="M16" s="124"/>
    </row>
    <row r="17" spans="1:8" ht="35.65" customHeight="1" x14ac:dyDescent="0.2">
      <c r="A17" s="80" t="s">
        <v>269</v>
      </c>
      <c r="B17" s="398"/>
      <c r="C17" s="121" t="s">
        <v>272</v>
      </c>
      <c r="D17" s="122">
        <f>'[38]RER Summary'!$U$60*-1</f>
        <v>151107</v>
      </c>
      <c r="E17" s="79" t="s">
        <v>289</v>
      </c>
    </row>
    <row r="18" spans="1:8" ht="32.1" customHeight="1" x14ac:dyDescent="0.2">
      <c r="A18" s="80" t="s">
        <v>271</v>
      </c>
      <c r="B18" s="398"/>
      <c r="C18" s="121" t="s">
        <v>272</v>
      </c>
      <c r="D18" s="122">
        <f>'[38]RER Summary'!$V$33*-1</f>
        <v>384729.36499999999</v>
      </c>
      <c r="E18" s="123" t="s">
        <v>276</v>
      </c>
    </row>
    <row r="19" spans="1:8" ht="36" customHeight="1" x14ac:dyDescent="0.2">
      <c r="A19" s="80" t="s">
        <v>269</v>
      </c>
      <c r="B19" s="398"/>
      <c r="C19" s="121" t="s">
        <v>272</v>
      </c>
      <c r="D19" s="122">
        <f>('[38]RER Summary'!$V$29+'[38]RER Summary'!$V$23)*-1</f>
        <v>-284541.36499999999</v>
      </c>
      <c r="E19" s="123" t="s">
        <v>273</v>
      </c>
    </row>
    <row r="20" spans="1:8" ht="34.5" customHeight="1" x14ac:dyDescent="0.2">
      <c r="A20" s="80" t="s">
        <v>267</v>
      </c>
      <c r="B20" s="398"/>
      <c r="C20" s="121" t="s">
        <v>272</v>
      </c>
      <c r="D20" s="122">
        <f>'[38]Adjustments to Prior Years'!$F$19*-1</f>
        <v>-100188</v>
      </c>
      <c r="E20" s="123" t="s">
        <v>275</v>
      </c>
    </row>
    <row r="21" spans="1:8" ht="34.5" customHeight="1" x14ac:dyDescent="0.2">
      <c r="A21" s="80" t="s">
        <v>269</v>
      </c>
      <c r="B21" s="398"/>
      <c r="C21" s="121" t="s">
        <v>272</v>
      </c>
      <c r="D21" s="122">
        <f>-1*'[38]RER Summary'!$W$60</f>
        <v>59824</v>
      </c>
      <c r="E21" s="123" t="s">
        <v>274</v>
      </c>
    </row>
    <row r="22" spans="1:8" ht="34.5" customHeight="1" x14ac:dyDescent="0.2">
      <c r="A22" s="80" t="s">
        <v>266</v>
      </c>
      <c r="B22" s="398"/>
      <c r="C22" s="121" t="s">
        <v>272</v>
      </c>
      <c r="D22" s="122">
        <f>-1*'[38]RER Summary'!$W$61</f>
        <v>18584</v>
      </c>
      <c r="E22" s="123" t="s">
        <v>274</v>
      </c>
    </row>
    <row r="23" spans="1:8" ht="39" customHeight="1" x14ac:dyDescent="0.2">
      <c r="A23" s="80" t="s">
        <v>267</v>
      </c>
      <c r="B23" s="398"/>
      <c r="C23" s="121" t="s">
        <v>272</v>
      </c>
      <c r="D23" s="122">
        <f>-1*'[38]RER Summary'!$W$63</f>
        <v>-13583</v>
      </c>
      <c r="E23" s="123" t="s">
        <v>274</v>
      </c>
    </row>
    <row r="24" spans="1:8" ht="39" customHeight="1" x14ac:dyDescent="0.2">
      <c r="A24" s="80" t="s">
        <v>267</v>
      </c>
      <c r="B24" s="398"/>
      <c r="C24" s="121" t="s">
        <v>272</v>
      </c>
      <c r="D24" s="122">
        <f>'[38]RER Summary'!$V$52*-1</f>
        <v>-15974.54</v>
      </c>
      <c r="E24" s="123" t="s">
        <v>277</v>
      </c>
    </row>
    <row r="25" spans="1:8" ht="42.75" customHeight="1" x14ac:dyDescent="0.2">
      <c r="A25" s="78" t="s">
        <v>266</v>
      </c>
      <c r="B25" s="399"/>
      <c r="C25" s="121" t="s">
        <v>272</v>
      </c>
      <c r="D25" s="122">
        <f>'[38]Adjustments to Prior Years'!$E$17*-1</f>
        <v>-402166.8899999999</v>
      </c>
      <c r="E25" s="123" t="s">
        <v>285</v>
      </c>
      <c r="G25" s="95"/>
    </row>
    <row r="26" spans="1:8" ht="48.75" customHeight="1" thickBot="1" x14ac:dyDescent="0.25">
      <c r="A26" s="78" t="s">
        <v>267</v>
      </c>
      <c r="B26" s="399"/>
      <c r="C26" s="121" t="s">
        <v>272</v>
      </c>
      <c r="D26" s="122">
        <f>'[38]Adjustments to Prior Years'!$F$17</f>
        <v>402166.8899999999</v>
      </c>
      <c r="E26" s="123" t="s">
        <v>285</v>
      </c>
    </row>
    <row r="27" spans="1:8" ht="19.899999999999999" customHeight="1" thickTop="1" thickBot="1" x14ac:dyDescent="0.25">
      <c r="A27" s="400" t="s">
        <v>77</v>
      </c>
      <c r="B27" s="401"/>
      <c r="C27" s="402"/>
      <c r="D27" s="403">
        <f>SUM(D6:D26)</f>
        <v>391186.03000000009</v>
      </c>
      <c r="E27" s="404"/>
    </row>
    <row r="28" spans="1:8" ht="18" customHeight="1" x14ac:dyDescent="0.2">
      <c r="A28" s="96"/>
      <c r="B28" s="96"/>
      <c r="C28" s="96"/>
      <c r="D28" s="96"/>
    </row>
    <row r="29" spans="1:8" s="406" customFormat="1" ht="19.899999999999999" customHeight="1" x14ac:dyDescent="0.2">
      <c r="A29" s="654" t="s">
        <v>201</v>
      </c>
      <c r="B29" s="405"/>
      <c r="C29" s="405"/>
      <c r="D29" s="405"/>
    </row>
    <row r="30" spans="1:8" s="406" customFormat="1" ht="19.899999999999999" customHeight="1" x14ac:dyDescent="0.2">
      <c r="A30" s="654" t="s">
        <v>202</v>
      </c>
      <c r="B30" s="405"/>
      <c r="C30" s="405"/>
      <c r="D30" s="405"/>
      <c r="E30" s="405"/>
    </row>
    <row r="31" spans="1:8" x14ac:dyDescent="0.2">
      <c r="A31" s="88"/>
      <c r="B31" s="88"/>
      <c r="C31" s="88"/>
      <c r="D31" s="88"/>
      <c r="E31" s="88"/>
    </row>
    <row r="32" spans="1:8" ht="14.25" customHeight="1" x14ac:dyDescent="0.2">
      <c r="A32" s="653" t="s">
        <v>278</v>
      </c>
      <c r="B32" s="653"/>
      <c r="C32" s="653"/>
      <c r="D32" s="653"/>
      <c r="E32" s="653"/>
      <c r="F32" s="125"/>
      <c r="G32" s="125"/>
      <c r="H32" s="125"/>
    </row>
    <row r="33" spans="1:8" x14ac:dyDescent="0.2">
      <c r="A33" s="653"/>
      <c r="B33" s="653"/>
      <c r="C33" s="653"/>
      <c r="D33" s="653"/>
      <c r="E33" s="653"/>
      <c r="F33" s="125"/>
      <c r="G33" s="125"/>
      <c r="H33" s="125"/>
    </row>
    <row r="34" spans="1:8" x14ac:dyDescent="0.2">
      <c r="A34" s="653"/>
      <c r="B34" s="653"/>
      <c r="C34" s="653"/>
      <c r="D34" s="653"/>
      <c r="E34" s="653"/>
    </row>
    <row r="35" spans="1:8" x14ac:dyDescent="0.2">
      <c r="A35" s="653"/>
      <c r="B35" s="653"/>
      <c r="C35" s="653"/>
      <c r="D35" s="653"/>
      <c r="E35" s="653"/>
    </row>
    <row r="36" spans="1:8" x14ac:dyDescent="0.2">
      <c r="A36" s="653"/>
      <c r="B36" s="653"/>
      <c r="C36" s="653"/>
      <c r="D36" s="653"/>
      <c r="E36" s="653"/>
    </row>
    <row r="37" spans="1:8" x14ac:dyDescent="0.2">
      <c r="A37" s="88"/>
      <c r="B37" s="88"/>
      <c r="C37" s="88"/>
      <c r="D37" s="88"/>
      <c r="E37" s="88"/>
    </row>
    <row r="38" spans="1:8" x14ac:dyDescent="0.2">
      <c r="A38" s="88"/>
      <c r="B38" s="88"/>
      <c r="C38" s="88"/>
      <c r="D38" s="88"/>
      <c r="E38" s="88"/>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mergeCells count="1">
    <mergeCell ref="A32:E36"/>
  </mergeCells>
  <printOptions horizontalCentered="1"/>
  <pageMargins left="0.7" right="0.7" top="0.75" bottom="0.75" header="0.3" footer="0.3"/>
  <pageSetup scale="55" orientation="portrait" r:id="rId4"/>
  <headerFooter alignWithMargins="0">
    <oddHeader>&amp;R&amp;"Arial,Bold"&amp;12Enclosure 3</oddHeader>
    <oddFooter>&amp;LUpdated: 11/09/2016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83DC9F1-1373-4C72-A3EF-415D342B481F}">
  <ds:schemaRefs>
    <ds:schemaRef ds:uri="http://schemas.microsoft.com/sharepoint/v3/contenttype/forms"/>
  </ds:schemaRefs>
</ds:datastoreItem>
</file>

<file path=customXml/itemProps2.xml><?xml version="1.0" encoding="utf-8"?>
<ds:datastoreItem xmlns:ds="http://schemas.openxmlformats.org/officeDocument/2006/customXml" ds:itemID="{440F34CD-E56F-4563-A295-A3C8B79F8080}">
  <ds:schemaRefs>
    <ds:schemaRef ds:uri="http://schemas.microsoft.com/sharepoint/events"/>
  </ds:schemaRefs>
</ds:datastoreItem>
</file>

<file path=customXml/itemProps3.xml><?xml version="1.0" encoding="utf-8"?>
<ds:datastoreItem xmlns:ds="http://schemas.openxmlformats.org/officeDocument/2006/customXml" ds:itemID="{D4BFA184-2B01-4691-A38C-D70A0B88FA44}"/>
</file>

<file path=customXml/itemProps4.xml><?xml version="1.0" encoding="utf-8"?>
<ds:datastoreItem xmlns:ds="http://schemas.openxmlformats.org/officeDocument/2006/customXml" ds:itemID="{E13A476B-E2F4-48D4-B908-944CD62E1B6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6850DE09-E719-4909-8F62-2A9BA2B456F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San_Francisco_FY15-16_RER_ADA</dc:title>
  <dc:creator>Moses.Ndungu@dhcs.ca.gov</dc:creator>
  <cp:keywords>San_Francisco_FY15-16_RER_ADA</cp:keywords>
  <cp:lastModifiedBy>westj</cp:lastModifiedBy>
  <cp:lastPrinted>2017-06-28T23:01:24Z</cp:lastPrinted>
  <dcterms:created xsi:type="dcterms:W3CDTF">2007-09-20T19:02:25Z</dcterms:created>
  <dcterms:modified xsi:type="dcterms:W3CDTF">2020-11-06T02:34:23Z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tatus">
    <vt:lpwstr>Not Started</vt:lpwstr>
  </property>
  <property fmtid="{D5CDD505-2E9C-101B-9397-08002B2CF9AE}" pid="12" name="_dlc_DocId">
    <vt:lpwstr>DHCSDOC-1363137784-1481</vt:lpwstr>
  </property>
  <property fmtid="{D5CDD505-2E9C-101B-9397-08002B2CF9AE}" pid="13" name="_dlc_DocIdItemGuid">
    <vt:lpwstr>bd383e79-115e-46d1-8577-3efee1d38e1f</vt:lpwstr>
  </property>
  <property fmtid="{D5CDD505-2E9C-101B-9397-08002B2CF9AE}" pid="14" name="_dlc_DocIdUrl">
    <vt:lpwstr>http://dhcs2016prod:88/services/MH/_layouts/15/DocIdRedir.aspx?ID=DHCSDOC-1363137784-1481, DHCSDOC-1363137784-1481</vt:lpwstr>
  </property>
  <property fmtid="{D5CDD505-2E9C-101B-9397-08002B2CF9AE}" pid="15" name="ContentTypeId">
    <vt:lpwstr>0x0101000DD778A44A894D44A57135C48A267F0A</vt:lpwstr>
  </property>
</Properties>
</file>