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D5A4EA2-78E9-43EF-A841-8BCC190C216E}" xr6:coauthVersionLast="45" xr6:coauthVersionMax="45" xr10:uidLastSave="{00000000-0000-0000-0000-000000000000}"/>
  <bookViews>
    <workbookView xWindow="-120" yWindow="-120" windowWidth="20730" windowHeight="11160" tabRatio="931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  <sheet name="TTACB Fund Analysis " sheetId="53" r:id="rId10"/>
    <sheet name="Sheet1" sheetId="54" state="hidden" r:id="rId11"/>
    <sheet name="Sheet2" sheetId="5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26" i="10" l="1"/>
  <c r="I21" i="10"/>
  <c r="I75" i="10" s="1"/>
  <c r="I26" i="10"/>
  <c r="I25" i="10"/>
  <c r="I27" i="10" s="1"/>
  <c r="H25" i="10"/>
  <c r="G25" i="10"/>
  <c r="C71" i="55"/>
  <c r="E45" i="55"/>
  <c r="E50" i="55"/>
  <c r="E49" i="55"/>
  <c r="E48" i="55"/>
  <c r="E47" i="55"/>
  <c r="E44" i="55"/>
  <c r="E43" i="55"/>
  <c r="E42" i="55"/>
  <c r="E41" i="55"/>
  <c r="E38" i="55"/>
  <c r="E37" i="55"/>
  <c r="C28" i="55"/>
  <c r="C51" i="55"/>
  <c r="G36" i="10"/>
  <c r="F34" i="40"/>
  <c r="I42" i="10"/>
  <c r="F47" i="38"/>
  <c r="H42" i="10"/>
  <c r="F48" i="38"/>
  <c r="H43" i="10"/>
  <c r="C12" i="53"/>
  <c r="C14" i="53" s="1"/>
  <c r="C23" i="53" s="1"/>
  <c r="C6" i="53"/>
  <c r="C8" i="53"/>
  <c r="C20" i="53"/>
  <c r="F12" i="8"/>
  <c r="F13" i="8" s="1"/>
  <c r="F15" i="8" s="1"/>
  <c r="F10" i="8"/>
  <c r="F14" i="8"/>
  <c r="G37" i="10"/>
  <c r="F54" i="51"/>
  <c r="L35" i="10"/>
  <c r="L39" i="10" s="1"/>
  <c r="F7" i="43"/>
  <c r="K43" i="10"/>
  <c r="F38" i="41"/>
  <c r="F25" i="41"/>
  <c r="F37" i="41" s="1"/>
  <c r="K31" i="10"/>
  <c r="K21" i="10"/>
  <c r="K75" i="10" s="1"/>
  <c r="J26" i="10"/>
  <c r="J75" i="10" s="1"/>
  <c r="G43" i="10"/>
  <c r="F35" i="40"/>
  <c r="F53" i="51"/>
  <c r="G20" i="10"/>
  <c r="G21" i="10"/>
  <c r="G75" i="10" s="1"/>
  <c r="I43" i="10"/>
  <c r="M26" i="10"/>
  <c r="M75" i="10" s="1"/>
  <c r="L26" i="10"/>
  <c r="L27" i="10" s="1"/>
  <c r="I19" i="10"/>
  <c r="I35" i="10" s="1"/>
  <c r="I20" i="10"/>
  <c r="L21" i="10"/>
  <c r="L19" i="10"/>
  <c r="H20" i="10"/>
  <c r="H22" i="10" s="1"/>
  <c r="H19" i="10"/>
  <c r="H35" i="10"/>
  <c r="H36" i="10" s="1"/>
  <c r="J74" i="10"/>
  <c r="K22" i="10"/>
  <c r="J22" i="10"/>
  <c r="K74" i="10"/>
  <c r="K73" i="10"/>
  <c r="N22" i="10"/>
  <c r="F33" i="40"/>
  <c r="F36" i="40" s="1"/>
  <c r="K38" i="10"/>
  <c r="J38" i="10"/>
  <c r="J44" i="10" s="1"/>
  <c r="G38" i="10"/>
  <c r="N38" i="10"/>
  <c r="N44" i="10"/>
  <c r="N45" i="10" s="1"/>
  <c r="M38" i="10"/>
  <c r="M44" i="10"/>
  <c r="M45" i="10" s="1"/>
  <c r="L38" i="10"/>
  <c r="M27" i="10"/>
  <c r="K44" i="10"/>
  <c r="F45" i="38"/>
  <c r="P61" i="10"/>
  <c r="O64" i="10"/>
  <c r="J73" i="10"/>
  <c r="I74" i="10"/>
  <c r="H74" i="10"/>
  <c r="F40" i="38"/>
  <c r="F23" i="38"/>
  <c r="F46" i="38"/>
  <c r="F49" i="38" s="1"/>
  <c r="D2" i="43"/>
  <c r="G2" i="40"/>
  <c r="F34" i="5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N71" i="10"/>
  <c r="M72" i="10"/>
  <c r="L71" i="10"/>
  <c r="K72" i="10"/>
  <c r="K71" i="10"/>
  <c r="J71" i="10"/>
  <c r="P41" i="10"/>
  <c r="P42" i="10"/>
  <c r="P43" i="10"/>
  <c r="P31" i="10"/>
  <c r="P32" i="10"/>
  <c r="P33" i="10"/>
  <c r="P34" i="10"/>
  <c r="P37" i="10"/>
  <c r="P30" i="10"/>
  <c r="J72" i="10"/>
  <c r="H71" i="10"/>
  <c r="I71" i="10"/>
  <c r="G71" i="10"/>
  <c r="P71" i="10" s="1"/>
  <c r="N64" i="10"/>
  <c r="L64" i="10"/>
  <c r="H64" i="10"/>
  <c r="P64" i="10" s="1"/>
  <c r="B22" i="48" s="1"/>
  <c r="I64" i="10"/>
  <c r="G64" i="10"/>
  <c r="F30" i="49"/>
  <c r="G52" i="10"/>
  <c r="P52" i="10" s="1"/>
  <c r="G51" i="10"/>
  <c r="P51" i="10" s="1"/>
  <c r="G50" i="10"/>
  <c r="G72" i="10"/>
  <c r="J67" i="10"/>
  <c r="P67" i="10" s="1"/>
  <c r="B21" i="48"/>
  <c r="N75" i="10"/>
  <c r="N72" i="10"/>
  <c r="L72" i="10"/>
  <c r="K70" i="10"/>
  <c r="K69" i="10"/>
  <c r="K68" i="10"/>
  <c r="J70" i="10"/>
  <c r="J69" i="10"/>
  <c r="J68" i="10"/>
  <c r="H75" i="10"/>
  <c r="G70" i="10"/>
  <c r="P70" i="10" s="1"/>
  <c r="G69" i="10"/>
  <c r="N69" i="10"/>
  <c r="N70" i="10"/>
  <c r="L70" i="10"/>
  <c r="L69" i="10"/>
  <c r="H70" i="10"/>
  <c r="I70" i="10"/>
  <c r="H69" i="10"/>
  <c r="I69" i="10"/>
  <c r="M22" i="10"/>
  <c r="P62" i="10"/>
  <c r="O22" i="10"/>
  <c r="P63" i="10"/>
  <c r="P60" i="10"/>
  <c r="K64" i="10"/>
  <c r="J64" i="10"/>
  <c r="P57" i="10"/>
  <c r="P56" i="10"/>
  <c r="P18" i="10"/>
  <c r="P13" i="10"/>
  <c r="N27" i="10"/>
  <c r="K27" i="10"/>
  <c r="J27" i="10"/>
  <c r="P14" i="10"/>
  <c r="P15" i="10"/>
  <c r="P17" i="10"/>
  <c r="P16" i="10"/>
  <c r="O24" i="10"/>
  <c r="O27" i="10"/>
  <c r="P25" i="10"/>
  <c r="P59" i="10"/>
  <c r="P54" i="10"/>
  <c r="P50" i="10"/>
  <c r="P24" i="10"/>
  <c r="F20" i="41"/>
  <c r="F22" i="41"/>
  <c r="H27" i="10"/>
  <c r="P58" i="10"/>
  <c r="P55" i="10"/>
  <c r="P68" i="10"/>
  <c r="M76" i="10" l="1"/>
  <c r="J76" i="10"/>
  <c r="N76" i="10"/>
  <c r="L22" i="10"/>
  <c r="K76" i="10"/>
  <c r="P26" i="10"/>
  <c r="F52" i="51"/>
  <c r="F56" i="51" s="1"/>
  <c r="J45" i="10"/>
  <c r="P20" i="10"/>
  <c r="O66" i="10"/>
  <c r="P66" i="10" s="1"/>
  <c r="P19" i="10"/>
  <c r="G74" i="10"/>
  <c r="P74" i="10" s="1"/>
  <c r="G44" i="10"/>
  <c r="G45" i="10" s="1"/>
  <c r="F39" i="41"/>
  <c r="F40" i="41" s="1"/>
  <c r="K45" i="10" s="1"/>
  <c r="O76" i="10"/>
  <c r="H73" i="10"/>
  <c r="I76" i="10"/>
  <c r="I36" i="10"/>
  <c r="I73" i="10" s="1"/>
  <c r="I38" i="10"/>
  <c r="I44" i="10" s="1"/>
  <c r="I45" i="10" s="1"/>
  <c r="P75" i="10"/>
  <c r="P39" i="10"/>
  <c r="L44" i="10"/>
  <c r="L45" i="10" s="1"/>
  <c r="I22" i="10"/>
  <c r="P69" i="10"/>
  <c r="L75" i="10"/>
  <c r="L76" i="10" s="1"/>
  <c r="H72" i="10"/>
  <c r="H76" i="10" s="1"/>
  <c r="P21" i="10"/>
  <c r="I72" i="10"/>
  <c r="G27" i="10"/>
  <c r="P27" i="10" s="1"/>
  <c r="G22" i="10"/>
  <c r="G73" i="10"/>
  <c r="P73" i="10" s="1"/>
  <c r="P35" i="10"/>
  <c r="H38" i="10"/>
  <c r="P72" i="10" l="1"/>
  <c r="P22" i="10"/>
  <c r="P38" i="10"/>
  <c r="P44" i="10" s="1"/>
  <c r="H44" i="10"/>
  <c r="H45" i="10" s="1"/>
  <c r="P45" i="10" s="1"/>
  <c r="G76" i="10"/>
  <c r="P76" i="10" s="1"/>
  <c r="P36" i="10"/>
</calcChain>
</file>

<file path=xl/sharedStrings.xml><?xml version="1.0" encoding="utf-8"?>
<sst xmlns="http://schemas.openxmlformats.org/spreadsheetml/2006/main" count="623" uniqueCount="250">
  <si>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</si>
  <si>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</si>
  <si>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</si>
  <si>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</si>
  <si>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</si>
  <si>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</si>
  <si>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</si>
  <si>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</si>
  <si>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</si>
  <si>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</si>
  <si>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</si>
  <si>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</si>
  <si>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</si>
  <si>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</si>
  <si>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</si>
  <si>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</si>
  <si>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</si>
  <si>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</si>
  <si>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</si>
  <si>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</si>
  <si>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</si>
  <si>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</si>
  <si>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</si>
  <si>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</si>
  <si>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</si>
  <si>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</si>
  <si>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</si>
  <si>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</si>
  <si>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</si>
  <si>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</si>
  <si>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</si>
  <si>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</si>
  <si>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</si>
  <si>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</si>
  <si>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</si>
  <si>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</si>
  <si>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</si>
  <si>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</si>
  <si>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</si>
  <si>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</si>
  <si>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</si>
  <si>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</si>
  <si>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</si>
  <si>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</si>
  <si>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</si>
  <si>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</si>
  <si>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</si>
  <si>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</si>
  <si>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</si>
  <si>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</si>
  <si>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</si>
  <si>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</si>
  <si>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</si>
  <si>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</si>
  <si>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</si>
  <si>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</si>
  <si>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</si>
  <si>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</si>
  <si>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</si>
  <si>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</si>
  <si>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</si>
  <si>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</si>
  <si>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</si>
  <si>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</si>
  <si>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</si>
  <si>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</si>
  <si>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</si>
  <si>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</si>
  <si>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</si>
  <si>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</si>
  <si>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</si>
  <si>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</si>
  <si>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</si>
  <si>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</si>
  <si>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</si>
  <si>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</si>
  <si>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</si>
  <si>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</si>
  <si>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</si>
  <si>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</si>
  <si>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</si>
  <si>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</si>
  <si>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</si>
  <si>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</si>
  <si>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</si>
  <si>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</si>
  <si>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</si>
  <si>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</si>
  <si>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</si>
  <si>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</si>
  <si>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</si>
  <si>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</si>
  <si>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</si>
  <si>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</si>
  <si>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</si>
  <si>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</si>
  <si>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</si>
  <si>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</si>
  <si>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</si>
  <si>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</si>
  <si>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</si>
  <si>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</si>
  <si>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</si>
  <si>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</si>
  <si>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</si>
  <si>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</si>
  <si>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</si>
  <si>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</si>
  <si>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</si>
  <si>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</si>
  <si>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</si>
  <si>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</si>
  <si>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</si>
  <si>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</si>
  <si>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</si>
  <si>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</si>
  <si>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</si>
  <si>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</si>
  <si>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</si>
  <si>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</si>
  <si>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</si>
  <si>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</si>
  <si>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</si>
  <si>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</si>
  <si>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</si>
  <si>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</si>
  <si>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</si>
  <si>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</si>
  <si>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</si>
  <si>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</si>
  <si>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</si>
  <si>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</si>
  <si>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</si>
  <si>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</si>
  <si>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</si>
  <si>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</si>
  <si>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</si>
  <si>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</si>
  <si>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</si>
  <si>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</si>
  <si>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</si>
  <si>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</si>
  <si>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</si>
  <si>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</si>
  <si>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</si>
  <si>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</si>
  <si>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 xml:space="preserve">Innovation Evaluation </t>
  </si>
  <si>
    <t>FY 2013-14 Interest Earned on MHSA Funds</t>
  </si>
  <si>
    <t xml:space="preserve">FY 2013-14 </t>
  </si>
  <si>
    <t>Los Angeles</t>
  </si>
  <si>
    <t>Integrated Clinic Model (ICM)</t>
  </si>
  <si>
    <t>Integrated Mobile Health Team (IMHT)</t>
  </si>
  <si>
    <t>Integrated Peer-Run Model - Community Outreach Svcs</t>
  </si>
  <si>
    <t>Integrated Svcs Management Model (ISM)</t>
  </si>
  <si>
    <t>Arcadia Mental Health Ctr.Replacement Proj.</t>
  </si>
  <si>
    <t>Downtown MHC</t>
  </si>
  <si>
    <t>Exodus Foundation</t>
  </si>
  <si>
    <t>IT - CFACR</t>
  </si>
  <si>
    <t>IT - IBHIS</t>
  </si>
  <si>
    <t>IT - TELEPSY</t>
  </si>
  <si>
    <t>Contract Provider Technological Needs</t>
  </si>
  <si>
    <t>N</t>
  </si>
  <si>
    <t>Kimberly Nall</t>
  </si>
  <si>
    <t xml:space="preserve">Director of Finance </t>
  </si>
  <si>
    <t>(213) 738-4625</t>
  </si>
  <si>
    <t>knall@dmh.lacounty.gov</t>
  </si>
  <si>
    <t>Adult FCCS</t>
  </si>
  <si>
    <t>Adult FSP</t>
  </si>
  <si>
    <t>Alt_Crisis_Svcs-Res_&amp;_Bridging</t>
  </si>
  <si>
    <t>Child FCCS</t>
  </si>
  <si>
    <t>Child Wraparound FSP</t>
  </si>
  <si>
    <t>Children's FSP</t>
  </si>
  <si>
    <t>Children's FSS</t>
  </si>
  <si>
    <t>Cross Cutting Enriched Residential Svcs</t>
  </si>
  <si>
    <t>Cross Cutting Planning, Outreach &amp; Engagement</t>
  </si>
  <si>
    <t>Cross Cutting Urgent Care (UCC)</t>
  </si>
  <si>
    <t>Drop-In Centers</t>
  </si>
  <si>
    <t>Jail-Transition/Linkage-MHSA</t>
  </si>
  <si>
    <t>MHSA-ADULT_ HOUSING_SPEC</t>
  </si>
  <si>
    <t>MHSA-IMD_Step-down facilities</t>
  </si>
  <si>
    <t>MHSA-TAY_HOUSING_SVCS</t>
  </si>
  <si>
    <t>Older Adult FCCS</t>
  </si>
  <si>
    <t>Older Adult FSP</t>
  </si>
  <si>
    <t>Older Adult Training</t>
  </si>
  <si>
    <t>Older Adult Services Extenders</t>
  </si>
  <si>
    <t>Svc_Area_Navigation_MHSA</t>
  </si>
  <si>
    <t>TAY FCCS</t>
  </si>
  <si>
    <t>TAY FSP</t>
  </si>
  <si>
    <t>TAY Probation CAMP Program</t>
  </si>
  <si>
    <t>TAY Wraparound - FSP</t>
  </si>
  <si>
    <t>Cross Cutting Urgent Care (UCC) &amp; Misc.</t>
  </si>
  <si>
    <t>PEI Plan 1
School-Based Services</t>
  </si>
  <si>
    <t>PEI Plan 2
Family Education &amp; Support Services</t>
  </si>
  <si>
    <t>PEI Plan 3
At-Risk Family Services</t>
  </si>
  <si>
    <t>PEI Plan 4
Trauma Recovery Services</t>
  </si>
  <si>
    <t>PEI Plan 5
Primary Care &amp; Behavioral Health</t>
  </si>
  <si>
    <t>PEI Plan 6
Early Care &amp; Support for TAY</t>
  </si>
  <si>
    <t>PEI Plan 7
Juvenile Justice Services</t>
  </si>
  <si>
    <t>PEI Plan 8
Early Care &amp; Support for Older Adults</t>
  </si>
  <si>
    <t>PEI Plan 9
Improving Access to Underserved Populations</t>
  </si>
  <si>
    <t>ES-1
Suicide Prevention</t>
  </si>
  <si>
    <t>ES-2
School Mental Health Initiative</t>
  </si>
  <si>
    <t>ES-3
Stigma and Discrimination</t>
  </si>
  <si>
    <t>PEI Plan 1-
School-Based Services</t>
  </si>
  <si>
    <t>PEI Plan 2-
Family Education &amp; Support Services</t>
  </si>
  <si>
    <t>PEI Plan 3-
At-Risk Family Services</t>
  </si>
  <si>
    <t>PEI Plan 4-
Trauma Recovery Services</t>
  </si>
  <si>
    <t>PEI Plan 5-
Primary Care &amp; Behavioral Health</t>
  </si>
  <si>
    <t>PEI Plan 6-
Early Care &amp; Support for TAY</t>
  </si>
  <si>
    <t>PEI Plan 7-
Juvenile Justice Services</t>
  </si>
  <si>
    <t>PEI Plan 8-
Early Care &amp; Support for Older Adults</t>
  </si>
  <si>
    <t>PEI Plan 9-
Improving Access to Underserved Populations</t>
  </si>
  <si>
    <t>PEI Plan 10-
American Indian Project</t>
  </si>
  <si>
    <t>ES-1-
Suicide Prevention</t>
  </si>
  <si>
    <t>ES-2-
School Mental Health Initiative</t>
  </si>
  <si>
    <t>ES-3-
Stigma and Discrimination</t>
  </si>
  <si>
    <t>FY11-12</t>
  </si>
  <si>
    <t>Total</t>
  </si>
  <si>
    <t>Fund 
Balance</t>
  </si>
  <si>
    <t xml:space="preserve">    Total TTACB Fund Available </t>
  </si>
  <si>
    <t>Less:</t>
  </si>
  <si>
    <t>Beginning Unspent Fund Available from Prior Years:</t>
  </si>
  <si>
    <t xml:space="preserve">    Total TTACBFY13-14  Expenditure</t>
  </si>
  <si>
    <t>Add:</t>
  </si>
  <si>
    <t xml:space="preserve">     Revenue in FY13-14:</t>
  </si>
  <si>
    <t>Ending TTACB Fund Balance for FY13-14</t>
  </si>
  <si>
    <t>Note:</t>
  </si>
  <si>
    <t xml:space="preserve">Interest was part of the unspent fund in the first place, so total </t>
  </si>
  <si>
    <t>expenditures used up TTACB fund balance should include the</t>
  </si>
  <si>
    <t>interest.</t>
  </si>
  <si>
    <t>Adult Wellness Center/Client Run</t>
  </si>
  <si>
    <t>Alt_Crisis_Svcs-UCC-Misc.</t>
  </si>
  <si>
    <t>Sub-Total</t>
  </si>
  <si>
    <t>FSP</t>
  </si>
  <si>
    <t>x</t>
  </si>
  <si>
    <t>NON FSP-details per program</t>
  </si>
  <si>
    <t>NON FSP-combined</t>
  </si>
  <si>
    <t>Annual Mental Health Services Act Revenue and Expenditure Report for 
Fiscal Year 2013-14
Community Services and Supports (CSS) Summary</t>
  </si>
  <si>
    <t>Annual Mental Health Services Act Revenue and Expenditure Report for 
Fiscal Year 2013-14
Prevention and Early Intervention (PEI) Summary</t>
  </si>
  <si>
    <t>Annual Mental Health Services Act Revenue and Expenditure Report for 
Fiscal Year 2013-14
Innovation (INN) Summary</t>
  </si>
  <si>
    <t>Annual Mental Health Services Act Revenue and Expenditure Report for 
Fiscal Year 2013-14
Workforce Education and Training (WET) Summary</t>
  </si>
  <si>
    <t>FY13-14 Note for Annual Mental Health Services Act Revenue 
and Expenditure Report TTACB Program</t>
  </si>
  <si>
    <t>Annual Mental Health Services Act Revenue and Expenditure Report 
Fiscal Year 2013-14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</si>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</sst>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  <numFmt numFmtId="167" formatCode="_(* #,##0_);_(* \(#,##0\);_(* &quot;-&quot;??_);_(@_)"/>
    <numFmt numFmtId="168" formatCode="_(* #,##0.00000_);_(* \(#,##0.00000\);_(* &quot;-&quot;?????_);_(@_)"/>
    <numFmt numFmtId="169" formatCode="_(* #,##0.0_);_(* \(#,##0.0\);_(* &quot;-&quot;?????_);_(@_)"/>
    <numFmt numFmtId="170" formatCode="_(* #,##0.00000_);_(* \(#,##0.00000\);_(* &quot;-&quot;??_);_(@_)"/>
    <numFmt numFmtId="171" formatCode="_(* #,##0.000000_);_(* \(#,##0.000000\);_(* &quot;-&quot;??_);_(@_)"/>
    <numFmt numFmtId="172" formatCode="&quot;$&quot;#,##0.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8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3" fontId="9" fillId="0" borderId="0" xfId="0" applyNumberFormat="1" applyFont="1" applyProtection="1">
      <protection locked="0"/>
    </xf>
    <xf numFmtId="0" fontId="9" fillId="0" borderId="0" xfId="0" quotePrefix="1" applyFont="1" applyProtection="1">
      <protection locked="0"/>
    </xf>
    <xf numFmtId="41" fontId="0" fillId="0" borderId="0" xfId="0" applyNumberFormat="1"/>
    <xf numFmtId="41" fontId="0" fillId="0" borderId="4" xfId="0" applyNumberFormat="1" applyBorder="1"/>
    <xf numFmtId="41" fontId="0" fillId="0" borderId="0" xfId="0" applyNumberFormat="1" applyBorder="1"/>
    <xf numFmtId="172" fontId="0" fillId="0" borderId="0" xfId="0" applyNumberFormat="1"/>
    <xf numFmtId="38" fontId="0" fillId="0" borderId="0" xfId="0" applyNumberFormat="1"/>
    <xf numFmtId="0" fontId="4" fillId="2" borderId="6" xfId="0" applyFont="1" applyFill="1" applyBorder="1"/>
    <xf numFmtId="0" fontId="0" fillId="0" borderId="7" xfId="0" applyBorder="1"/>
    <xf numFmtId="0" fontId="4" fillId="0" borderId="0" xfId="0" applyFont="1" applyFill="1" applyBorder="1"/>
    <xf numFmtId="38" fontId="4" fillId="0" borderId="0" xfId="0" applyNumberFormat="1" applyFont="1"/>
    <xf numFmtId="38" fontId="4" fillId="3" borderId="6" xfId="0" applyNumberFormat="1" applyFont="1" applyFill="1" applyBorder="1"/>
    <xf numFmtId="0" fontId="0" fillId="3" borderId="0" xfId="0" applyFill="1"/>
    <xf numFmtId="14" fontId="11" fillId="0" borderId="4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1" fillId="0" borderId="9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3" fillId="0" borderId="1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1" fillId="0" borderId="9" xfId="0" applyFont="1" applyBorder="1" applyAlignment="1" applyProtection="1">
      <protection hidden="1"/>
    </xf>
    <xf numFmtId="0" fontId="11" fillId="0" borderId="9" xfId="0" applyFont="1" applyBorder="1" applyAlignment="1" applyProtection="1">
      <alignment horizontal="right"/>
      <protection hidden="1"/>
    </xf>
    <xf numFmtId="171" fontId="11" fillId="0" borderId="0" xfId="9" applyNumberFormat="1" applyFont="1" applyBorder="1" applyAlignment="1" applyProtection="1">
      <alignment horizontal="right"/>
      <protection locked="0"/>
    </xf>
    <xf numFmtId="167" fontId="11" fillId="0" borderId="8" xfId="2" applyNumberFormat="1" applyFont="1" applyBorder="1" applyProtection="1">
      <protection locked="0"/>
    </xf>
    <xf numFmtId="9" fontId="11" fillId="0" borderId="0" xfId="0" applyNumberFormat="1" applyFont="1" applyBorder="1" applyAlignment="1" applyProtection="1">
      <alignment horizontal="left"/>
      <protection locked="0"/>
    </xf>
    <xf numFmtId="9" fontId="11" fillId="0" borderId="8" xfId="0" applyNumberFormat="1" applyFont="1" applyBorder="1" applyAlignment="1" applyProtection="1">
      <alignment horizontal="left"/>
      <protection locked="0"/>
    </xf>
    <xf numFmtId="170" fontId="11" fillId="0" borderId="0" xfId="9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12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3" fillId="0" borderId="12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4" fillId="0" borderId="0" xfId="0" applyFont="1" applyAlignment="1" applyProtection="1"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41" fontId="11" fillId="0" borderId="0" xfId="0" applyNumberFormat="1" applyFont="1" applyProtection="1">
      <protection locked="0"/>
    </xf>
    <xf numFmtId="41" fontId="11" fillId="0" borderId="4" xfId="0" applyNumberFormat="1" applyFont="1" applyBorder="1" applyProtection="1">
      <protection locked="0"/>
    </xf>
    <xf numFmtId="41" fontId="11" fillId="0" borderId="0" xfId="0" applyNumberFormat="1" applyFont="1" applyBorder="1" applyProtection="1">
      <protection locked="0"/>
    </xf>
    <xf numFmtId="41" fontId="11" fillId="0" borderId="18" xfId="0" applyNumberFormat="1" applyFont="1" applyBorder="1" applyProtection="1">
      <protection locked="0"/>
    </xf>
    <xf numFmtId="0" fontId="11" fillId="0" borderId="0" xfId="0" applyFont="1" applyAlignment="1" applyProtection="1">
      <alignment horizontal="center"/>
      <protection hidden="1"/>
    </xf>
    <xf numFmtId="41" fontId="1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1" fillId="0" borderId="0" xfId="46" applyFont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1" fillId="0" borderId="0" xfId="57" applyFont="1" applyFill="1" applyBorder="1" applyProtection="1">
      <protection locked="0"/>
    </xf>
    <xf numFmtId="16" fontId="11" fillId="0" borderId="19" xfId="0" quotePrefix="1" applyNumberFormat="1" applyFont="1" applyBorder="1" applyProtection="1">
      <protection locked="0"/>
    </xf>
    <xf numFmtId="164" fontId="11" fillId="0" borderId="19" xfId="0" applyNumberFormat="1" applyFont="1" applyBorder="1" applyProtection="1"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11" fillId="0" borderId="20" xfId="0" quotePrefix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20" xfId="0" applyFont="1" applyBorder="1" applyAlignment="1" applyProtection="1">
      <alignment wrapText="1"/>
      <protection locked="0"/>
    </xf>
    <xf numFmtId="0" fontId="11" fillId="0" borderId="21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3" fillId="0" borderId="6" xfId="8" applyNumberFormat="1" applyFont="1" applyBorder="1" applyAlignment="1" applyProtection="1">
      <protection locked="0"/>
    </xf>
    <xf numFmtId="164" fontId="11" fillId="0" borderId="22" xfId="0" applyNumberFormat="1" applyFont="1" applyBorder="1" applyAlignment="1" applyProtection="1">
      <alignment horizontal="center"/>
      <protection locked="0"/>
    </xf>
    <xf numFmtId="164" fontId="3" fillId="0" borderId="23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14" fontId="3" fillId="0" borderId="4" xfId="0" applyNumberFormat="1" applyFont="1" applyBorder="1" applyAlignment="1" applyProtection="1">
      <alignment horizontal="center"/>
      <protection locked="0"/>
    </xf>
    <xf numFmtId="164" fontId="11" fillId="4" borderId="24" xfId="0" applyNumberFormat="1" applyFont="1" applyFill="1" applyBorder="1" applyProtection="1">
      <protection hidden="1"/>
    </xf>
    <xf numFmtId="164" fontId="11" fillId="4" borderId="25" xfId="0" applyNumberFormat="1" applyFont="1" applyFill="1" applyBorder="1" applyProtection="1">
      <protection hidden="1"/>
    </xf>
    <xf numFmtId="164" fontId="11" fillId="0" borderId="26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4" borderId="26" xfId="0" applyNumberFormat="1" applyFont="1" applyFill="1" applyBorder="1" applyProtection="1">
      <protection hidden="1"/>
    </xf>
    <xf numFmtId="164" fontId="11" fillId="4" borderId="20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4" borderId="28" xfId="0" applyNumberFormat="1" applyFont="1" applyFill="1" applyBorder="1" applyProtection="1">
      <protection hidden="1"/>
    </xf>
    <xf numFmtId="164" fontId="11" fillId="4" borderId="29" xfId="0" applyNumberFormat="1" applyFont="1" applyFill="1" applyBorder="1" applyProtection="1">
      <protection hidden="1"/>
    </xf>
    <xf numFmtId="164" fontId="11" fillId="4" borderId="29" xfId="41" applyNumberFormat="1" applyFont="1" applyFill="1" applyBorder="1" applyProtection="1">
      <protection hidden="1"/>
    </xf>
    <xf numFmtId="164" fontId="11" fillId="4" borderId="26" xfId="41" applyNumberFormat="1" applyFont="1" applyFill="1" applyBorder="1" applyProtection="1">
      <protection hidden="1"/>
    </xf>
    <xf numFmtId="164" fontId="11" fillId="5" borderId="26" xfId="0" applyNumberFormat="1" applyFont="1" applyFill="1" applyBorder="1" applyProtection="1">
      <protection locked="0"/>
    </xf>
    <xf numFmtId="164" fontId="11" fillId="5" borderId="27" xfId="0" applyNumberFormat="1" applyFont="1" applyFill="1" applyBorder="1" applyProtection="1">
      <protection locked="0"/>
    </xf>
    <xf numFmtId="164" fontId="11" fillId="4" borderId="27" xfId="0" applyNumberFormat="1" applyFont="1" applyFill="1" applyBorder="1" applyProtection="1">
      <protection hidden="1"/>
    </xf>
    <xf numFmtId="164" fontId="11" fillId="5" borderId="10" xfId="0" applyNumberFormat="1" applyFont="1" applyFill="1" applyBorder="1" applyProtection="1">
      <protection locked="0"/>
    </xf>
    <xf numFmtId="164" fontId="11" fillId="4" borderId="17" xfId="0" applyNumberFormat="1" applyFont="1" applyFill="1" applyBorder="1" applyProtection="1">
      <protection hidden="1"/>
    </xf>
    <xf numFmtId="164" fontId="11" fillId="4" borderId="8" xfId="0" applyNumberFormat="1" applyFont="1" applyFill="1" applyBorder="1" applyProtection="1">
      <protection hidden="1"/>
    </xf>
    <xf numFmtId="164" fontId="11" fillId="4" borderId="30" xfId="0" applyNumberFormat="1" applyFont="1" applyFill="1" applyBorder="1" applyProtection="1">
      <protection hidden="1"/>
    </xf>
    <xf numFmtId="164" fontId="11" fillId="4" borderId="6" xfId="0" applyNumberFormat="1" applyFont="1" applyFill="1" applyBorder="1" applyProtection="1">
      <protection hidden="1"/>
    </xf>
    <xf numFmtId="164" fontId="11" fillId="4" borderId="31" xfId="0" applyNumberFormat="1" applyFont="1" applyFill="1" applyBorder="1" applyProtection="1">
      <protection hidden="1"/>
    </xf>
    <xf numFmtId="164" fontId="11" fillId="4" borderId="32" xfId="0" applyNumberFormat="1" applyFont="1" applyFill="1" applyBorder="1" applyProtection="1">
      <protection hidden="1"/>
    </xf>
    <xf numFmtId="164" fontId="11" fillId="0" borderId="29" xfId="0" applyNumberFormat="1" applyFont="1" applyFill="1" applyBorder="1" applyProtection="1">
      <protection locked="0"/>
    </xf>
    <xf numFmtId="164" fontId="11" fillId="0" borderId="30" xfId="0" applyNumberFormat="1" applyFont="1" applyFill="1" applyBorder="1" applyProtection="1">
      <protection locked="0"/>
    </xf>
    <xf numFmtId="164" fontId="11" fillId="4" borderId="21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1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7" xfId="0" applyNumberFormat="1" applyFont="1" applyFill="1" applyBorder="1" applyProtection="1">
      <protection locked="0"/>
    </xf>
    <xf numFmtId="164" fontId="17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4" borderId="9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protection locked="0"/>
    </xf>
    <xf numFmtId="0" fontId="11" fillId="0" borderId="20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6" xfId="0" applyNumberFormat="1" applyFont="1" applyFill="1" applyBorder="1" applyProtection="1">
      <protection locked="0"/>
    </xf>
    <xf numFmtId="164" fontId="11" fillId="0" borderId="27" xfId="41" applyNumberFormat="1" applyFont="1" applyFill="1" applyBorder="1" applyProtection="1">
      <protection locked="0"/>
    </xf>
    <xf numFmtId="0" fontId="11" fillId="0" borderId="33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8" fontId="11" fillId="5" borderId="26" xfId="0" applyNumberFormat="1" applyFont="1" applyFill="1" applyBorder="1" applyProtection="1">
      <protection locked="0"/>
    </xf>
    <xf numFmtId="164" fontId="11" fillId="0" borderId="26" xfId="41" applyNumberFormat="1" applyFont="1" applyFill="1" applyBorder="1" applyProtection="1">
      <protection locked="0"/>
    </xf>
    <xf numFmtId="169" fontId="11" fillId="0" borderId="30" xfId="0" applyNumberFormat="1" applyFont="1" applyFill="1" applyBorder="1" applyProtection="1">
      <protection locked="0"/>
    </xf>
    <xf numFmtId="164" fontId="11" fillId="0" borderId="10" xfId="0" applyNumberFormat="1" applyFont="1" applyFill="1" applyBorder="1" applyProtection="1">
      <protection locked="0"/>
    </xf>
    <xf numFmtId="164" fontId="11" fillId="0" borderId="8" xfId="0" applyNumberFormat="1" applyFont="1" applyFill="1" applyBorder="1" applyProtection="1">
      <protection locked="0"/>
    </xf>
    <xf numFmtId="164" fontId="11" fillId="0" borderId="20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31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17" xfId="0" applyFont="1" applyFill="1" applyBorder="1" applyAlignment="1" applyProtection="1">
      <alignment horizontal="center"/>
      <protection locked="0"/>
    </xf>
    <xf numFmtId="0" fontId="11" fillId="0" borderId="0" xfId="41" applyFont="1" applyBorder="1" applyAlignment="1" applyProtection="1">
      <alignment horizontal="left"/>
      <protection locked="0"/>
    </xf>
    <xf numFmtId="0" fontId="11" fillId="0" borderId="8" xfId="41" applyFont="1" applyBorder="1" applyAlignment="1" applyProtection="1">
      <alignment horizontal="left"/>
      <protection locked="0"/>
    </xf>
    <xf numFmtId="41" fontId="11" fillId="0" borderId="3" xfId="9" applyNumberFormat="1" applyFont="1" applyBorder="1" applyAlignment="1" applyProtection="1">
      <alignment horizontal="right"/>
      <protection locked="0"/>
    </xf>
    <xf numFmtId="41" fontId="11" fillId="0" borderId="8" xfId="9" applyNumberFormat="1" applyFont="1" applyBorder="1" applyAlignment="1" applyProtection="1">
      <alignment horizontal="right"/>
      <protection locked="0"/>
    </xf>
    <xf numFmtId="38" fontId="11" fillId="0" borderId="0" xfId="41" applyNumberFormat="1" applyFont="1" applyBorder="1" applyAlignment="1" applyProtection="1">
      <alignment horizontal="left"/>
      <protection locked="0"/>
    </xf>
    <xf numFmtId="38" fontId="11" fillId="0" borderId="8" xfId="41" applyNumberFormat="1" applyFont="1" applyBorder="1" applyAlignment="1" applyProtection="1">
      <alignment horizontal="left"/>
      <protection locked="0"/>
    </xf>
    <xf numFmtId="38" fontId="11" fillId="0" borderId="0" xfId="0" applyNumberFormat="1" applyFont="1" applyBorder="1" applyAlignment="1" applyProtection="1">
      <alignment horizontal="left"/>
      <protection locked="0"/>
    </xf>
    <xf numFmtId="38" fontId="11" fillId="0" borderId="8" xfId="0" applyNumberFormat="1" applyFont="1" applyBorder="1" applyAlignment="1" applyProtection="1">
      <alignment horizontal="left"/>
      <protection locked="0"/>
    </xf>
    <xf numFmtId="41" fontId="11" fillId="0" borderId="3" xfId="9" applyNumberFormat="1" applyFont="1" applyBorder="1" applyAlignment="1" applyProtection="1">
      <alignment horizontal="center"/>
      <protection locked="0"/>
    </xf>
    <xf numFmtId="41" fontId="11" fillId="0" borderId="8" xfId="9" applyNumberFormat="1" applyFont="1" applyBorder="1" applyAlignment="1" applyProtection="1">
      <alignment horizontal="center"/>
      <protection locked="0"/>
    </xf>
    <xf numFmtId="164" fontId="11" fillId="0" borderId="9" xfId="9" applyNumberFormat="1" applyFont="1" applyBorder="1" applyAlignment="1" applyProtection="1">
      <alignment horizontal="right"/>
      <protection locked="0"/>
    </xf>
    <xf numFmtId="164" fontId="11" fillId="0" borderId="10" xfId="9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164" fontId="11" fillId="0" borderId="12" xfId="9" applyNumberFormat="1" applyFont="1" applyBorder="1" applyAlignment="1" applyProtection="1">
      <alignment horizontal="right"/>
      <protection locked="0"/>
    </xf>
    <xf numFmtId="164" fontId="11" fillId="0" borderId="13" xfId="9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11" fillId="0" borderId="3" xfId="9" applyNumberFormat="1" applyFont="1" applyBorder="1" applyAlignment="1" applyProtection="1">
      <alignment horizontal="right"/>
      <protection locked="0"/>
    </xf>
    <xf numFmtId="164" fontId="11" fillId="0" borderId="8" xfId="9" applyNumberFormat="1" applyFont="1" applyBorder="1" applyAlignment="1" applyProtection="1">
      <alignment horizontal="right"/>
      <protection locked="0"/>
    </xf>
    <xf numFmtId="164" fontId="11" fillId="0" borderId="11" xfId="9" applyNumberFormat="1" applyFont="1" applyBorder="1" applyAlignment="1" applyProtection="1">
      <alignment horizontal="right"/>
      <protection locked="0"/>
    </xf>
    <xf numFmtId="164" fontId="11" fillId="0" borderId="35" xfId="9" applyNumberFormat="1" applyFont="1" applyBorder="1" applyAlignment="1" applyProtection="1">
      <alignment horizontal="right"/>
      <protection locked="0"/>
    </xf>
    <xf numFmtId="38" fontId="11" fillId="0" borderId="0" xfId="0" applyNumberFormat="1" applyFont="1" applyBorder="1" applyProtection="1">
      <protection locked="0"/>
    </xf>
    <xf numFmtId="38" fontId="11" fillId="0" borderId="8" xfId="0" applyNumberFormat="1" applyFont="1" applyBorder="1" applyProtection="1">
      <protection locked="0"/>
    </xf>
    <xf numFmtId="0" fontId="11" fillId="0" borderId="8" xfId="9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164" fontId="11" fillId="0" borderId="3" xfId="9" applyNumberFormat="1" applyFont="1" applyBorder="1" applyAlignment="1" applyProtection="1">
      <alignment horizontal="right"/>
      <protection hidden="1"/>
    </xf>
    <xf numFmtId="164" fontId="11" fillId="0" borderId="8" xfId="9" applyNumberFormat="1" applyFont="1" applyBorder="1" applyAlignment="1" applyProtection="1">
      <alignment horizontal="right"/>
      <protection hidden="1"/>
    </xf>
    <xf numFmtId="38" fontId="11" fillId="0" borderId="0" xfId="0" quotePrefix="1" applyNumberFormat="1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8" xfId="0" applyFont="1" applyBorder="1" applyProtection="1">
      <protection locked="0"/>
    </xf>
    <xf numFmtId="38" fontId="11" fillId="0" borderId="0" xfId="41" applyNumberFormat="1" applyFont="1" applyBorder="1" applyProtection="1">
      <protection locked="0"/>
    </xf>
    <xf numFmtId="38" fontId="11" fillId="0" borderId="8" xfId="41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Protection="1">
      <protection locked="0"/>
    </xf>
    <xf numFmtId="165" fontId="11" fillId="0" borderId="12" xfId="9" applyNumberFormat="1" applyFont="1" applyBorder="1" applyAlignment="1" applyProtection="1">
      <alignment horizontal="right"/>
      <protection hidden="1"/>
    </xf>
    <xf numFmtId="165" fontId="11" fillId="0" borderId="13" xfId="9" applyNumberFormat="1" applyFont="1" applyBorder="1" applyAlignment="1" applyProtection="1">
      <alignment horizontal="right"/>
      <protection hidden="1"/>
    </xf>
    <xf numFmtId="0" fontId="11" fillId="0" borderId="0" xfId="41" applyFont="1" applyBorder="1" applyProtection="1">
      <protection locked="0"/>
    </xf>
    <xf numFmtId="0" fontId="11" fillId="0" borderId="8" xfId="41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right"/>
      <protection hidden="1"/>
    </xf>
    <xf numFmtId="9" fontId="11" fillId="0" borderId="0" xfId="0" applyNumberFormat="1" applyFont="1" applyBorder="1" applyAlignment="1" applyProtection="1">
      <alignment horizontal="left"/>
      <protection locked="0"/>
    </xf>
    <xf numFmtId="9" fontId="11" fillId="0" borderId="8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9" fontId="11" fillId="0" borderId="0" xfId="41" applyNumberFormat="1" applyFont="1" applyBorder="1" applyAlignment="1" applyProtection="1">
      <alignment horizontal="left"/>
      <protection locked="0"/>
    </xf>
    <xf numFmtId="9" fontId="11" fillId="0" borderId="8" xfId="41" applyNumberFormat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5" xfId="0" applyFont="1" applyBorder="1" applyProtection="1">
      <protection locked="0"/>
    </xf>
    <xf numFmtId="167" fontId="11" fillId="0" borderId="3" xfId="9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164" fontId="11" fillId="0" borderId="35" xfId="8" applyNumberFormat="1" applyFont="1" applyBorder="1" applyAlignment="1" applyProtection="1">
      <alignment horizontal="righ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right"/>
      <protection hidden="1"/>
    </xf>
    <xf numFmtId="164" fontId="11" fillId="0" borderId="13" xfId="0" applyNumberFormat="1" applyFont="1" applyBorder="1" applyAlignment="1" applyProtection="1">
      <alignment horizontal="right"/>
      <protection hidden="1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33" xfId="0" applyNumberFormat="1" applyFont="1" applyBorder="1" applyAlignment="1" applyProtection="1">
      <alignment horizontal="right"/>
      <protection locked="0"/>
    </xf>
    <xf numFmtId="164" fontId="11" fillId="0" borderId="22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35" xfId="0" applyNumberFormat="1" applyFont="1" applyBorder="1" applyAlignment="1" applyProtection="1">
      <alignment horizontal="right"/>
      <protection locked="0"/>
    </xf>
    <xf numFmtId="164" fontId="11" fillId="0" borderId="12" xfId="0" applyNumberFormat="1" applyFont="1" applyBorder="1" applyAlignment="1" applyProtection="1">
      <alignment horizontal="right"/>
      <protection locked="0"/>
    </xf>
    <xf numFmtId="164" fontId="11" fillId="0" borderId="13" xfId="0" applyNumberFormat="1" applyFont="1" applyBorder="1" applyAlignment="1" applyProtection="1">
      <alignment horizontal="right"/>
      <protection locked="0"/>
    </xf>
    <xf numFmtId="164" fontId="11" fillId="0" borderId="12" xfId="0" applyNumberFormat="1" applyFont="1" applyBorder="1" applyAlignment="1" applyProtection="1">
      <protection locked="0"/>
    </xf>
    <xf numFmtId="164" fontId="11" fillId="0" borderId="13" xfId="0" applyNumberFormat="1" applyFont="1" applyBorder="1" applyAlignment="1" applyProtection="1">
      <protection locked="0"/>
    </xf>
    <xf numFmtId="164" fontId="11" fillId="0" borderId="12" xfId="0" applyNumberFormat="1" applyFont="1" applyBorder="1" applyAlignment="1" applyProtection="1">
      <protection hidden="1"/>
    </xf>
    <xf numFmtId="164" fontId="11" fillId="0" borderId="13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locked="0"/>
    </xf>
    <xf numFmtId="164" fontId="11" fillId="0" borderId="8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11" fillId="0" borderId="36" xfId="0" applyNumberFormat="1" applyFont="1" applyBorder="1" applyProtection="1">
      <protection locked="0"/>
    </xf>
    <xf numFmtId="164" fontId="11" fillId="0" borderId="37" xfId="0" applyNumberFormat="1" applyFont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8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164" fontId="11" fillId="0" borderId="12" xfId="0" applyNumberFormat="1" applyFont="1" applyBorder="1" applyProtection="1">
      <protection locked="0"/>
    </xf>
    <xf numFmtId="164" fontId="11" fillId="0" borderId="13" xfId="0" applyNumberFormat="1" applyFont="1" applyBorder="1" applyProtection="1">
      <protection locked="0"/>
    </xf>
    <xf numFmtId="164" fontId="11" fillId="0" borderId="3" xfId="41" applyNumberFormat="1" applyFont="1" applyBorder="1" applyProtection="1">
      <protection locked="0"/>
    </xf>
    <xf numFmtId="164" fontId="11" fillId="0" borderId="8" xfId="41" applyNumberFormat="1" applyFont="1" applyBorder="1" applyProtection="1">
      <protection locked="0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0" fontId="3" fillId="0" borderId="33" xfId="0" applyFont="1" applyBorder="1" applyAlignment="1" applyProtection="1">
      <alignment horizontal="left"/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22" xfId="0" applyNumberFormat="1" applyFont="1" applyBorder="1" applyProtection="1">
      <protection locked="0"/>
    </xf>
    <xf numFmtId="164" fontId="11" fillId="0" borderId="3" xfId="0" applyNumberFormat="1" applyFont="1" applyBorder="1" applyAlignment="1" applyProtection="1">
      <protection hidden="1"/>
    </xf>
    <xf numFmtId="164" fontId="11" fillId="0" borderId="8" xfId="0" applyNumberFormat="1" applyFont="1" applyBorder="1" applyAlignment="1" applyProtection="1">
      <protection hidden="1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35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0" fillId="0" borderId="5" xfId="0" applyFill="1" applyBorder="1"/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11" fillId="6" borderId="33" xfId="0" applyFont="1" applyFill="1" applyBorder="1" applyAlignment="1" applyProtection="1">
      <alignment horizontal="left"/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0" fontId="11" fillId="6" borderId="22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1" fillId="6" borderId="33" xfId="0" applyFont="1" applyFill="1" applyBorder="1" applyProtection="1">
      <protection hidden="1"/>
    </xf>
    <xf numFmtId="0" fontId="11" fillId="6" borderId="4" xfId="0" applyFont="1" applyFill="1" applyBorder="1" applyProtection="1">
      <protection hidden="1"/>
    </xf>
    <xf numFmtId="0" fontId="11" fillId="6" borderId="22" xfId="0" applyFont="1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9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8" xfId="0" applyNumberFormat="1" applyFont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1" xfId="0" applyFont="1" applyBorder="1"/>
    <xf numFmtId="0" fontId="1" fillId="0" borderId="35" xfId="0" applyFont="1" applyBorder="1"/>
    <xf numFmtId="164" fontId="0" fillId="0" borderId="11" xfId="0" applyNumberFormat="1" applyBorder="1" applyAlignment="1" applyProtection="1">
      <alignment horizontal="right"/>
      <protection hidden="1"/>
    </xf>
    <xf numFmtId="164" fontId="0" fillId="0" borderId="35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3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5" xfId="0" applyFont="1" applyBorder="1"/>
    <xf numFmtId="164" fontId="4" fillId="0" borderId="12" xfId="0" applyNumberFormat="1" applyFont="1" applyBorder="1" applyAlignment="1" applyProtection="1">
      <alignment horizontal="right"/>
      <protection hidden="1"/>
    </xf>
    <xf numFmtId="164" fontId="4" fillId="0" borderId="13" xfId="0" applyNumberFormat="1" applyFont="1" applyBorder="1" applyAlignment="1" applyProtection="1">
      <alignment horizontal="right"/>
      <protection hidden="1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2" xfId="0" applyNumberFormat="1" applyFont="1" applyBorder="1" applyAlignment="1" applyProtection="1">
      <alignment horizontal="right"/>
      <protection hidden="1"/>
    </xf>
    <xf numFmtId="164" fontId="1" fillId="0" borderId="13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8" xfId="0" applyFont="1" applyFill="1" applyBorder="1" applyProtection="1"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2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8">
    <cellStyle name="Calc Currency (0)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5" xr:uid="{00000000-0005-0000-0000-000004000000}"/>
    <cellStyle name="Comma 2 3" xfId="6" xr:uid="{00000000-0005-0000-0000-000005000000}"/>
    <cellStyle name="Comma 3" xfId="7" xr:uid="{00000000-0005-0000-0000-000006000000}"/>
    <cellStyle name="Currency" xfId="8" builtinId="4"/>
    <cellStyle name="Currency 2" xfId="9" xr:uid="{00000000-0005-0000-0000-000008000000}"/>
    <cellStyle name="Currency 2 2" xfId="10" xr:uid="{00000000-0005-0000-0000-000009000000}"/>
    <cellStyle name="Currency 2 2 2" xfId="11" xr:uid="{00000000-0005-0000-0000-00000A000000}"/>
    <cellStyle name="Currency 2 2 2 2" xfId="12" xr:uid="{00000000-0005-0000-0000-00000B000000}"/>
    <cellStyle name="Currency 2 2 3" xfId="13" xr:uid="{00000000-0005-0000-0000-00000C000000}"/>
    <cellStyle name="Currency 2 3" xfId="14" xr:uid="{00000000-0005-0000-0000-00000D000000}"/>
    <cellStyle name="Currency 2 3 2" xfId="15" xr:uid="{00000000-0005-0000-0000-00000E000000}"/>
    <cellStyle name="Currency 2 4" xfId="16" xr:uid="{00000000-0005-0000-0000-00000F000000}"/>
    <cellStyle name="Currency 2 4 2" xfId="17" xr:uid="{00000000-0005-0000-0000-000010000000}"/>
    <cellStyle name="Currency 3" xfId="18" xr:uid="{00000000-0005-0000-0000-000011000000}"/>
    <cellStyle name="Currency 3 2" xfId="19" xr:uid="{00000000-0005-0000-0000-000012000000}"/>
    <cellStyle name="Currency 3 2 2" xfId="20" xr:uid="{00000000-0005-0000-0000-000013000000}"/>
    <cellStyle name="Currency 3 3" xfId="21" xr:uid="{00000000-0005-0000-0000-000014000000}"/>
    <cellStyle name="Currency 3 3 2" xfId="22" xr:uid="{00000000-0005-0000-0000-000015000000}"/>
    <cellStyle name="Currency 4" xfId="23" xr:uid="{00000000-0005-0000-0000-000016000000}"/>
    <cellStyle name="Currency 4 2" xfId="24" xr:uid="{00000000-0005-0000-0000-000017000000}"/>
    <cellStyle name="Currency 5" xfId="25" xr:uid="{00000000-0005-0000-0000-000018000000}"/>
    <cellStyle name="Currency 5 2" xfId="26" xr:uid="{00000000-0005-0000-0000-000019000000}"/>
    <cellStyle name="Currency 6" xfId="27" xr:uid="{00000000-0005-0000-0000-00001A000000}"/>
    <cellStyle name="Currency 6 2" xfId="28" xr:uid="{00000000-0005-0000-0000-00001B000000}"/>
    <cellStyle name="Currency 7" xfId="29" xr:uid="{00000000-0005-0000-0000-00001C000000}"/>
    <cellStyle name="Currency 7 2" xfId="30" xr:uid="{00000000-0005-0000-0000-00001D000000}"/>
    <cellStyle name="Currency 8" xfId="31" xr:uid="{00000000-0005-0000-0000-00001E000000}"/>
    <cellStyle name="Currency 8 2" xfId="32" xr:uid="{00000000-0005-0000-0000-00001F000000}"/>
    <cellStyle name="Header1" xfId="33" xr:uid="{00000000-0005-0000-0000-000020000000}"/>
    <cellStyle name="Header2" xfId="34" xr:uid="{00000000-0005-0000-0000-000021000000}"/>
    <cellStyle name="Normal" xfId="0" builtinId="0"/>
    <cellStyle name="Normal 10" xfId="35" xr:uid="{00000000-0005-0000-0000-000023000000}"/>
    <cellStyle name="Normal 10 2" xfId="36" xr:uid="{00000000-0005-0000-0000-000024000000}"/>
    <cellStyle name="Normal 11" xfId="37" xr:uid="{00000000-0005-0000-0000-000025000000}"/>
    <cellStyle name="Normal 11 2" xfId="38" xr:uid="{00000000-0005-0000-0000-000026000000}"/>
    <cellStyle name="Normal 12" xfId="39" xr:uid="{00000000-0005-0000-0000-000027000000}"/>
    <cellStyle name="Normal 12 2" xfId="40" xr:uid="{00000000-0005-0000-0000-000028000000}"/>
    <cellStyle name="Normal 2" xfId="41" xr:uid="{00000000-0005-0000-0000-000029000000}"/>
    <cellStyle name="Normal 2 2" xfId="42" xr:uid="{00000000-0005-0000-0000-00002A000000}"/>
    <cellStyle name="Normal 2 3" xfId="43" xr:uid="{00000000-0005-0000-0000-00002B000000}"/>
    <cellStyle name="Normal 3" xfId="44" xr:uid="{00000000-0005-0000-0000-00002C000000}"/>
    <cellStyle name="Normal 3 2" xfId="45" xr:uid="{00000000-0005-0000-0000-00002D000000}"/>
    <cellStyle name="Normal 4" xfId="46" xr:uid="{00000000-0005-0000-0000-00002E000000}"/>
    <cellStyle name="Normal 4 2" xfId="47" xr:uid="{00000000-0005-0000-0000-00002F000000}"/>
    <cellStyle name="Normal 4 2 2" xfId="48" xr:uid="{00000000-0005-0000-0000-000030000000}"/>
    <cellStyle name="Normal 4 3" xfId="49" xr:uid="{00000000-0005-0000-0000-000031000000}"/>
    <cellStyle name="Normal 4 3 2" xfId="50" xr:uid="{00000000-0005-0000-0000-000032000000}"/>
    <cellStyle name="Normal 4 4" xfId="51" xr:uid="{00000000-0005-0000-0000-000033000000}"/>
    <cellStyle name="Normal 4 4 2" xfId="52" xr:uid="{00000000-0005-0000-0000-000034000000}"/>
    <cellStyle name="Normal 5" xfId="53" xr:uid="{00000000-0005-0000-0000-000035000000}"/>
    <cellStyle name="Normal 6" xfId="54" xr:uid="{00000000-0005-0000-0000-000036000000}"/>
    <cellStyle name="Normal 6 2" xfId="55" xr:uid="{00000000-0005-0000-0000-000037000000}"/>
    <cellStyle name="Normal 7" xfId="56" xr:uid="{00000000-0005-0000-0000-000038000000}"/>
    <cellStyle name="Normal 7 2" xfId="57" xr:uid="{00000000-0005-0000-0000-000039000000}"/>
    <cellStyle name="Normal 8" xfId="58" xr:uid="{00000000-0005-0000-0000-00003A000000}"/>
    <cellStyle name="Normal 9" xfId="59" xr:uid="{00000000-0005-0000-0000-00003B000000}"/>
    <cellStyle name="Normal 9 2" xfId="60" xr:uid="{00000000-0005-0000-0000-00003C000000}"/>
    <cellStyle name="Percent" xfId="61" builtinId="5"/>
    <cellStyle name="Percent 2" xfId="62" xr:uid="{00000000-0005-0000-0000-00003E000000}"/>
    <cellStyle name="Percent 2 2" xfId="63" xr:uid="{00000000-0005-0000-0000-00003F000000}"/>
    <cellStyle name="Percent 2 2 2" xfId="64" xr:uid="{00000000-0005-0000-0000-000040000000}"/>
    <cellStyle name="Percent 2 3" xfId="65" xr:uid="{00000000-0005-0000-0000-000041000000}"/>
    <cellStyle name="Percent 2 3 2" xfId="66" xr:uid="{00000000-0005-0000-0000-000042000000}"/>
    <cellStyle name="Percent 2 4" xfId="67" xr:uid="{00000000-0005-0000-0000-000043000000}"/>
    <cellStyle name="Percent 3" xfId="68" xr:uid="{00000000-0005-0000-0000-000044000000}"/>
    <cellStyle name="Percent 3 2" xfId="69" xr:uid="{00000000-0005-0000-0000-000045000000}"/>
    <cellStyle name="Percent 3 2 2" xfId="70" xr:uid="{00000000-0005-0000-0000-000046000000}"/>
    <cellStyle name="Percent 3 3" xfId="71" xr:uid="{00000000-0005-0000-0000-000047000000}"/>
    <cellStyle name="Percent 3 3 2" xfId="72" xr:uid="{00000000-0005-0000-0000-000048000000}"/>
    <cellStyle name="Percent 3 4" xfId="73" xr:uid="{00000000-0005-0000-0000-000049000000}"/>
    <cellStyle name="Percent 4" xfId="74" xr:uid="{00000000-0005-0000-0000-00004A000000}"/>
    <cellStyle name="Percent 4 2" xfId="75" xr:uid="{00000000-0005-0000-0000-00004B000000}"/>
    <cellStyle name="Percent 5" xfId="76" xr:uid="{00000000-0005-0000-0000-00004C000000}"/>
    <cellStyle name="Percent 6" xfId="77" xr:uid="{00000000-0005-0000-0000-00004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erced\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erced\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endocino\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endocino\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arin\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arin\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adera\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Madera\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Los%20Angeles\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Lassen\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Lassen\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Lake\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Kings\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Kings\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Kern\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Kern\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Inyo\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Inyo\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Imperial\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Imperial\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Humboldt\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Humboldt\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Glenn\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Glenn\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Fresno\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Fresno\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El%20Dorado\El%20Dorado\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El%20Dorado\El%20Dorado\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Del%20Norte\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Colusa\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Colusa\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Butte\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Butte\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Berkeley%20City\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Berkeley%20City\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Revenue%20&amp;%20Expenditure%20Reports%20(RER)\Amador\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opLeftCell="A28" zoomScaleNormal="100" zoomScaleSheetLayoutView="100" zoomScalePageLayoutView="84" workbookViewId="0">
      <selection activeCell="D2" sqref="D2:E2"/>
    </sheetView>
  </sheetViews>
  <sheetFormatPr defaultColWidth="0" defaultRowHeight="12.75" zeroHeight="1" x14ac:dyDescent="0.2"/>
  <cols>
    <col min="1" max="4" width="3.5703125" style="66" customWidth="1"/>
    <col min="5" max="5" width="60.5703125" style="66" customWidth="1"/>
    <col min="6" max="6" width="6" style="66" customWidth="1"/>
    <col min="7" max="7" width="20.42578125" style="66" customWidth="1"/>
    <col min="8" max="10" width="12.5703125" hidden="1" customWidth="1"/>
    <col min="11" max="16384" width="9.140625" hidden="1"/>
  </cols>
  <sheetData>
    <row r="1" spans="1:10" ht="62.25" customHeight="1" x14ac:dyDescent="0.2">
      <c r="A1" s="256" t="s">
        <v>237</v>
      </c>
      <c r="B1" s="256"/>
      <c r="C1" s="256"/>
      <c r="D1" s="256"/>
      <c r="E1" s="256"/>
      <c r="F1" s="256"/>
      <c r="G1" s="256"/>
    </row>
    <row r="2" spans="1:10" ht="20.100000000000001" customHeight="1" x14ac:dyDescent="0.25">
      <c r="A2" s="257" t="s">
        <v>8</v>
      </c>
      <c r="B2" s="257"/>
      <c r="C2" s="257"/>
      <c r="D2" s="258" t="s">
        <v>149</v>
      </c>
      <c r="E2" s="258"/>
      <c r="F2" s="56" t="s">
        <v>9</v>
      </c>
      <c r="G2" s="49">
        <v>42479</v>
      </c>
    </row>
    <row r="3" spans="1:10" ht="15" customHeight="1" x14ac:dyDescent="0.25">
      <c r="A3" s="54"/>
      <c r="B3" s="54"/>
      <c r="C3" s="54"/>
      <c r="D3" s="259"/>
      <c r="E3" s="259"/>
      <c r="F3" s="260"/>
      <c r="G3" s="260"/>
    </row>
    <row r="4" spans="1:10" ht="15" x14ac:dyDescent="0.2">
      <c r="A4" s="55"/>
      <c r="B4" s="55"/>
      <c r="C4" s="55"/>
      <c r="D4" s="55"/>
      <c r="E4" s="55"/>
      <c r="F4" s="255"/>
      <c r="G4" s="255"/>
    </row>
    <row r="5" spans="1:10" s="3" customFormat="1" ht="15" customHeight="1" x14ac:dyDescent="0.2">
      <c r="A5" s="234" t="s">
        <v>54</v>
      </c>
      <c r="B5" s="235"/>
      <c r="C5" s="235"/>
      <c r="D5" s="235"/>
      <c r="E5" s="236"/>
      <c r="F5" s="243" t="s">
        <v>59</v>
      </c>
      <c r="G5" s="244"/>
    </row>
    <row r="6" spans="1:10" s="3" customFormat="1" ht="15" customHeight="1" x14ac:dyDescent="0.2">
      <c r="A6" s="237"/>
      <c r="B6" s="238"/>
      <c r="C6" s="238"/>
      <c r="D6" s="238"/>
      <c r="E6" s="239"/>
      <c r="F6" s="245"/>
      <c r="G6" s="246"/>
    </row>
    <row r="7" spans="1:10" s="1" customFormat="1" ht="20.25" customHeight="1" x14ac:dyDescent="0.2">
      <c r="A7" s="240"/>
      <c r="B7" s="241"/>
      <c r="C7" s="241"/>
      <c r="D7" s="241"/>
      <c r="E7" s="242"/>
      <c r="F7" s="247"/>
      <c r="G7" s="248"/>
      <c r="H7" s="2"/>
      <c r="I7" s="2"/>
      <c r="J7" s="2"/>
    </row>
    <row r="8" spans="1:10" ht="15" customHeight="1" x14ac:dyDescent="0.25">
      <c r="A8" s="208" t="s">
        <v>125</v>
      </c>
      <c r="B8" s="249"/>
      <c r="C8" s="249"/>
      <c r="D8" s="249"/>
      <c r="E8" s="250"/>
      <c r="F8" s="251"/>
      <c r="G8" s="252"/>
    </row>
    <row r="9" spans="1:10" ht="15" customHeight="1" x14ac:dyDescent="0.2">
      <c r="A9" s="58">
        <v>1</v>
      </c>
      <c r="B9" s="200" t="s">
        <v>166</v>
      </c>
      <c r="C9" s="232" t="s">
        <v>166</v>
      </c>
      <c r="D9" s="232" t="s">
        <v>166</v>
      </c>
      <c r="E9" s="233" t="s">
        <v>166</v>
      </c>
      <c r="F9" s="198">
        <v>14769344.183999998</v>
      </c>
      <c r="G9" s="224"/>
    </row>
    <row r="10" spans="1:10" ht="15" customHeight="1" x14ac:dyDescent="0.2">
      <c r="A10" s="58">
        <v>2</v>
      </c>
      <c r="B10" s="200" t="s">
        <v>167</v>
      </c>
      <c r="C10" s="232" t="s">
        <v>167</v>
      </c>
      <c r="D10" s="232" t="s">
        <v>167</v>
      </c>
      <c r="E10" s="233" t="s">
        <v>167</v>
      </c>
      <c r="F10" s="198">
        <v>72154756</v>
      </c>
      <c r="G10" s="224"/>
    </row>
    <row r="11" spans="1:10" ht="15" customHeight="1" x14ac:dyDescent="0.2">
      <c r="A11" s="58">
        <v>3</v>
      </c>
      <c r="B11" s="200" t="s">
        <v>230</v>
      </c>
      <c r="C11" s="232" t="s">
        <v>230</v>
      </c>
      <c r="D11" s="232" t="s">
        <v>230</v>
      </c>
      <c r="E11" s="233" t="s">
        <v>230</v>
      </c>
      <c r="F11" s="198">
        <v>15937593.867000001</v>
      </c>
      <c r="G11" s="224"/>
    </row>
    <row r="12" spans="1:10" ht="15" customHeight="1" x14ac:dyDescent="0.2">
      <c r="A12" s="58">
        <v>4</v>
      </c>
      <c r="B12" s="196" t="s">
        <v>168</v>
      </c>
      <c r="C12" s="253" t="s">
        <v>168</v>
      </c>
      <c r="D12" s="253" t="s">
        <v>168</v>
      </c>
      <c r="E12" s="254" t="s">
        <v>168</v>
      </c>
      <c r="F12" s="198">
        <v>1746489.8499999999</v>
      </c>
      <c r="G12" s="224"/>
    </row>
    <row r="13" spans="1:10" ht="15" customHeight="1" x14ac:dyDescent="0.2">
      <c r="A13" s="58">
        <v>5</v>
      </c>
      <c r="B13" s="200" t="s">
        <v>169</v>
      </c>
      <c r="C13" s="232" t="s">
        <v>169</v>
      </c>
      <c r="D13" s="232" t="s">
        <v>169</v>
      </c>
      <c r="E13" s="233" t="s">
        <v>169</v>
      </c>
      <c r="F13" s="198">
        <v>23714730.214000002</v>
      </c>
      <c r="G13" s="224"/>
    </row>
    <row r="14" spans="1:10" ht="15" customHeight="1" x14ac:dyDescent="0.2">
      <c r="A14" s="58">
        <v>6</v>
      </c>
      <c r="B14" s="202" t="s">
        <v>170</v>
      </c>
      <c r="C14" s="222" t="s">
        <v>170</v>
      </c>
      <c r="D14" s="222" t="s">
        <v>170</v>
      </c>
      <c r="E14" s="223" t="s">
        <v>170</v>
      </c>
      <c r="F14" s="198">
        <v>10159701</v>
      </c>
      <c r="G14" s="224"/>
    </row>
    <row r="15" spans="1:10" ht="15" customHeight="1" x14ac:dyDescent="0.2">
      <c r="A15" s="58">
        <v>7</v>
      </c>
      <c r="B15" s="213" t="s">
        <v>171</v>
      </c>
      <c r="C15" s="230" t="s">
        <v>171</v>
      </c>
      <c r="D15" s="230" t="s">
        <v>171</v>
      </c>
      <c r="E15" s="231" t="s">
        <v>171</v>
      </c>
      <c r="F15" s="198">
        <v>33933485</v>
      </c>
      <c r="G15" s="224"/>
    </row>
    <row r="16" spans="1:10" ht="15" customHeight="1" x14ac:dyDescent="0.2">
      <c r="A16" s="58">
        <v>8</v>
      </c>
      <c r="B16" s="202" t="s">
        <v>172</v>
      </c>
      <c r="C16" s="222" t="s">
        <v>172</v>
      </c>
      <c r="D16" s="222" t="s">
        <v>172</v>
      </c>
      <c r="E16" s="223" t="s">
        <v>172</v>
      </c>
      <c r="F16" s="198">
        <v>1132194</v>
      </c>
      <c r="G16" s="224"/>
    </row>
    <row r="17" spans="1:7" ht="15" customHeight="1" x14ac:dyDescent="0.2">
      <c r="A17" s="58">
        <v>9</v>
      </c>
      <c r="B17" s="202" t="s">
        <v>173</v>
      </c>
      <c r="C17" s="222" t="s">
        <v>173</v>
      </c>
      <c r="D17" s="222" t="s">
        <v>173</v>
      </c>
      <c r="E17" s="223" t="s">
        <v>173</v>
      </c>
      <c r="F17" s="198">
        <v>1547182.36</v>
      </c>
      <c r="G17" s="224"/>
    </row>
    <row r="18" spans="1:7" ht="15" customHeight="1" x14ac:dyDescent="0.2">
      <c r="A18" s="58">
        <v>10</v>
      </c>
      <c r="B18" s="202" t="s">
        <v>174</v>
      </c>
      <c r="C18" s="222" t="s">
        <v>174</v>
      </c>
      <c r="D18" s="222" t="s">
        <v>174</v>
      </c>
      <c r="E18" s="223" t="s">
        <v>174</v>
      </c>
      <c r="F18" s="198">
        <v>1523921.8699999999</v>
      </c>
      <c r="G18" s="224"/>
    </row>
    <row r="19" spans="1:7" ht="15" customHeight="1" x14ac:dyDescent="0.2">
      <c r="A19" s="58">
        <v>11</v>
      </c>
      <c r="B19" s="202" t="s">
        <v>175</v>
      </c>
      <c r="C19" s="222" t="s">
        <v>175</v>
      </c>
      <c r="D19" s="222" t="s">
        <v>175</v>
      </c>
      <c r="E19" s="223" t="s">
        <v>175</v>
      </c>
      <c r="F19" s="198">
        <v>2791725.1</v>
      </c>
      <c r="G19" s="224"/>
    </row>
    <row r="20" spans="1:7" ht="15" customHeight="1" x14ac:dyDescent="0.2">
      <c r="A20" s="58">
        <v>12</v>
      </c>
      <c r="B20" s="213" t="s">
        <v>176</v>
      </c>
      <c r="C20" s="230" t="s">
        <v>176</v>
      </c>
      <c r="D20" s="230" t="s">
        <v>176</v>
      </c>
      <c r="E20" s="231" t="s">
        <v>176</v>
      </c>
      <c r="F20" s="198">
        <v>149454</v>
      </c>
      <c r="G20" s="224"/>
    </row>
    <row r="21" spans="1:7" ht="15" customHeight="1" x14ac:dyDescent="0.2">
      <c r="A21" s="58">
        <v>13</v>
      </c>
      <c r="B21" s="213" t="s">
        <v>177</v>
      </c>
      <c r="C21" s="230" t="s">
        <v>177</v>
      </c>
      <c r="D21" s="230" t="s">
        <v>177</v>
      </c>
      <c r="E21" s="231" t="s">
        <v>177</v>
      </c>
      <c r="F21" s="198">
        <v>343237.32</v>
      </c>
      <c r="G21" s="224"/>
    </row>
    <row r="22" spans="1:7" ht="15" customHeight="1" x14ac:dyDescent="0.2">
      <c r="A22" s="58">
        <v>14</v>
      </c>
      <c r="B22" s="213" t="s">
        <v>178</v>
      </c>
      <c r="C22" s="230" t="s">
        <v>178</v>
      </c>
      <c r="D22" s="230" t="s">
        <v>178</v>
      </c>
      <c r="E22" s="231" t="s">
        <v>178</v>
      </c>
      <c r="F22" s="198">
        <v>395626.2</v>
      </c>
      <c r="G22" s="224"/>
    </row>
    <row r="23" spans="1:7" ht="15" customHeight="1" x14ac:dyDescent="0.2">
      <c r="A23" s="58">
        <v>15</v>
      </c>
      <c r="B23" s="213" t="s">
        <v>179</v>
      </c>
      <c r="C23" s="230" t="s">
        <v>179</v>
      </c>
      <c r="D23" s="230" t="s">
        <v>179</v>
      </c>
      <c r="E23" s="231" t="s">
        <v>179</v>
      </c>
      <c r="F23" s="198">
        <v>8014067.75</v>
      </c>
      <c r="G23" s="224"/>
    </row>
    <row r="24" spans="1:7" ht="15" customHeight="1" x14ac:dyDescent="0.2">
      <c r="A24" s="58">
        <v>16</v>
      </c>
      <c r="B24" s="213" t="s">
        <v>180</v>
      </c>
      <c r="C24" s="230" t="s">
        <v>180</v>
      </c>
      <c r="D24" s="230" t="s">
        <v>180</v>
      </c>
      <c r="E24" s="231" t="s">
        <v>180</v>
      </c>
      <c r="F24" s="198">
        <v>516103.5</v>
      </c>
      <c r="G24" s="224"/>
    </row>
    <row r="25" spans="1:7" ht="15" customHeight="1" x14ac:dyDescent="0.2">
      <c r="A25" s="58">
        <v>17</v>
      </c>
      <c r="B25" s="202" t="s">
        <v>181</v>
      </c>
      <c r="C25" s="222" t="s">
        <v>181</v>
      </c>
      <c r="D25" s="222" t="s">
        <v>181</v>
      </c>
      <c r="E25" s="223" t="s">
        <v>181</v>
      </c>
      <c r="F25" s="198">
        <v>7761417.2039999999</v>
      </c>
      <c r="G25" s="224"/>
    </row>
    <row r="26" spans="1:7" ht="15" customHeight="1" x14ac:dyDescent="0.2">
      <c r="A26" s="58">
        <v>18</v>
      </c>
      <c r="B26" s="202" t="s">
        <v>182</v>
      </c>
      <c r="C26" s="222" t="s">
        <v>182</v>
      </c>
      <c r="D26" s="222" t="s">
        <v>182</v>
      </c>
      <c r="E26" s="223" t="s">
        <v>182</v>
      </c>
      <c r="F26" s="198">
        <v>7282265</v>
      </c>
      <c r="G26" s="224"/>
    </row>
    <row r="27" spans="1:7" ht="15" customHeight="1" x14ac:dyDescent="0.2">
      <c r="A27" s="58">
        <v>19</v>
      </c>
      <c r="B27" s="202" t="s">
        <v>183</v>
      </c>
      <c r="C27" s="222" t="s">
        <v>183</v>
      </c>
      <c r="D27" s="222" t="s">
        <v>183</v>
      </c>
      <c r="E27" s="223" t="s">
        <v>183</v>
      </c>
      <c r="F27" s="198">
        <v>10873.199999999999</v>
      </c>
      <c r="G27" s="224"/>
    </row>
    <row r="28" spans="1:7" ht="15" customHeight="1" x14ac:dyDescent="0.2">
      <c r="A28" s="58">
        <v>20</v>
      </c>
      <c r="B28" s="229" t="s">
        <v>184</v>
      </c>
      <c r="C28" s="222" t="s">
        <v>184</v>
      </c>
      <c r="D28" s="222" t="s">
        <v>184</v>
      </c>
      <c r="E28" s="223" t="s">
        <v>184</v>
      </c>
      <c r="F28" s="198">
        <v>22978.799999999999</v>
      </c>
      <c r="G28" s="224"/>
    </row>
    <row r="29" spans="1:7" ht="15" customHeight="1" x14ac:dyDescent="0.2">
      <c r="A29" s="58">
        <v>21</v>
      </c>
      <c r="B29" s="213" t="s">
        <v>185</v>
      </c>
      <c r="C29" s="230" t="s">
        <v>185</v>
      </c>
      <c r="D29" s="230" t="s">
        <v>185</v>
      </c>
      <c r="E29" s="231" t="s">
        <v>185</v>
      </c>
      <c r="F29" s="198">
        <v>4164140.5</v>
      </c>
      <c r="G29" s="224"/>
    </row>
    <row r="30" spans="1:7" ht="15" customHeight="1" x14ac:dyDescent="0.2">
      <c r="A30" s="58">
        <v>22</v>
      </c>
      <c r="B30" s="202" t="s">
        <v>186</v>
      </c>
      <c r="C30" s="222" t="s">
        <v>186</v>
      </c>
      <c r="D30" s="222" t="s">
        <v>186</v>
      </c>
      <c r="E30" s="223" t="s">
        <v>186</v>
      </c>
      <c r="F30" s="198">
        <v>4485538.2450000001</v>
      </c>
      <c r="G30" s="224"/>
    </row>
    <row r="31" spans="1:7" ht="15" customHeight="1" x14ac:dyDescent="0.2">
      <c r="A31" s="58">
        <v>23</v>
      </c>
      <c r="B31" s="202" t="s">
        <v>187</v>
      </c>
      <c r="C31" s="222" t="s">
        <v>187</v>
      </c>
      <c r="D31" s="222" t="s">
        <v>187</v>
      </c>
      <c r="E31" s="223" t="s">
        <v>187</v>
      </c>
      <c r="F31" s="198">
        <v>21400857</v>
      </c>
      <c r="G31" s="224"/>
    </row>
    <row r="32" spans="1:7" ht="15" customHeight="1" x14ac:dyDescent="0.2">
      <c r="A32" s="58">
        <v>24</v>
      </c>
      <c r="B32" s="202" t="s">
        <v>188</v>
      </c>
      <c r="C32" s="222" t="s">
        <v>188</v>
      </c>
      <c r="D32" s="222" t="s">
        <v>188</v>
      </c>
      <c r="E32" s="223" t="s">
        <v>188</v>
      </c>
      <c r="F32" s="198">
        <v>717910.25</v>
      </c>
      <c r="G32" s="224"/>
    </row>
    <row r="33" spans="1:7" s="5" customFormat="1" ht="15" customHeight="1" x14ac:dyDescent="0.2">
      <c r="A33" s="58">
        <v>25</v>
      </c>
      <c r="B33" s="202" t="s">
        <v>189</v>
      </c>
      <c r="C33" s="222" t="s">
        <v>189</v>
      </c>
      <c r="D33" s="222" t="s">
        <v>189</v>
      </c>
      <c r="E33" s="223" t="s">
        <v>189</v>
      </c>
      <c r="F33" s="198">
        <v>1423050</v>
      </c>
      <c r="G33" s="224"/>
    </row>
    <row r="34" spans="1:7" s="5" customFormat="1" ht="15" customHeight="1" x14ac:dyDescent="0.2">
      <c r="A34" s="68"/>
      <c r="B34" s="225" t="s">
        <v>62</v>
      </c>
      <c r="C34" s="225"/>
      <c r="D34" s="225"/>
      <c r="E34" s="226"/>
      <c r="F34" s="206">
        <f>SUM(F9:G33)</f>
        <v>236098642.414</v>
      </c>
      <c r="G34" s="207"/>
    </row>
    <row r="35" spans="1:7" s="5" customFormat="1" ht="15" customHeight="1" x14ac:dyDescent="0.25">
      <c r="A35" s="215" t="s">
        <v>126</v>
      </c>
      <c r="B35" s="216"/>
      <c r="C35" s="216"/>
      <c r="D35" s="216"/>
      <c r="E35" s="217"/>
      <c r="F35" s="227"/>
      <c r="G35" s="228"/>
    </row>
    <row r="36" spans="1:7" s="5" customFormat="1" ht="15" customHeight="1" x14ac:dyDescent="0.2">
      <c r="A36" s="58">
        <v>1</v>
      </c>
      <c r="B36" s="200" t="s">
        <v>166</v>
      </c>
      <c r="C36" s="200" t="s">
        <v>166</v>
      </c>
      <c r="D36" s="200" t="s">
        <v>166</v>
      </c>
      <c r="E36" s="201" t="s">
        <v>166</v>
      </c>
      <c r="F36" s="198">
        <v>26601367.816</v>
      </c>
      <c r="G36" s="199"/>
    </row>
    <row r="37" spans="1:7" s="5" customFormat="1" ht="15" customHeight="1" x14ac:dyDescent="0.2">
      <c r="A37" s="58">
        <v>2</v>
      </c>
      <c r="B37" s="200" t="s">
        <v>230</v>
      </c>
      <c r="C37" s="200" t="s">
        <v>230</v>
      </c>
      <c r="D37" s="200" t="s">
        <v>230</v>
      </c>
      <c r="E37" s="201" t="s">
        <v>230</v>
      </c>
      <c r="F37" s="198">
        <v>120281157.133</v>
      </c>
      <c r="G37" s="199"/>
    </row>
    <row r="38" spans="1:7" s="5" customFormat="1" ht="15" customHeight="1" x14ac:dyDescent="0.2">
      <c r="A38" s="58">
        <v>3</v>
      </c>
      <c r="B38" s="196" t="s">
        <v>168</v>
      </c>
      <c r="C38" s="196" t="s">
        <v>168</v>
      </c>
      <c r="D38" s="196" t="s">
        <v>168</v>
      </c>
      <c r="E38" s="197" t="s">
        <v>168</v>
      </c>
      <c r="F38" s="198">
        <v>3243481.15</v>
      </c>
      <c r="G38" s="199"/>
    </row>
    <row r="39" spans="1:7" s="5" customFormat="1" ht="15" customHeight="1" x14ac:dyDescent="0.2">
      <c r="A39" s="58">
        <v>4</v>
      </c>
      <c r="B39" s="202" t="s">
        <v>169</v>
      </c>
      <c r="C39" s="202" t="s">
        <v>169</v>
      </c>
      <c r="D39" s="202" t="s">
        <v>169</v>
      </c>
      <c r="E39" s="203" t="s">
        <v>169</v>
      </c>
      <c r="F39" s="198">
        <v>27175248.786000002</v>
      </c>
      <c r="G39" s="199"/>
    </row>
    <row r="40" spans="1:7" s="5" customFormat="1" ht="15" customHeight="1" x14ac:dyDescent="0.2">
      <c r="A40" s="58">
        <v>5</v>
      </c>
      <c r="B40" s="202" t="s">
        <v>174</v>
      </c>
      <c r="C40" s="202" t="s">
        <v>174</v>
      </c>
      <c r="D40" s="202" t="s">
        <v>174</v>
      </c>
      <c r="E40" s="203" t="s">
        <v>174</v>
      </c>
      <c r="F40" s="198">
        <v>3730981.13</v>
      </c>
      <c r="G40" s="199"/>
    </row>
    <row r="41" spans="1:7" s="5" customFormat="1" ht="15" customHeight="1" x14ac:dyDescent="0.2">
      <c r="A41" s="58">
        <v>6</v>
      </c>
      <c r="B41" s="202" t="s">
        <v>190</v>
      </c>
      <c r="C41" s="202" t="s">
        <v>190</v>
      </c>
      <c r="D41" s="202" t="s">
        <v>190</v>
      </c>
      <c r="E41" s="203" t="s">
        <v>190</v>
      </c>
      <c r="F41" s="198">
        <v>27397018.540000003</v>
      </c>
      <c r="G41" s="199"/>
    </row>
    <row r="42" spans="1:7" s="5" customFormat="1" ht="15" customHeight="1" x14ac:dyDescent="0.2">
      <c r="A42" s="58">
        <v>7</v>
      </c>
      <c r="B42" s="200" t="s">
        <v>181</v>
      </c>
      <c r="C42" s="200" t="s">
        <v>181</v>
      </c>
      <c r="D42" s="200" t="s">
        <v>181</v>
      </c>
      <c r="E42" s="201" t="s">
        <v>181</v>
      </c>
      <c r="F42" s="198">
        <v>9435230.5960000008</v>
      </c>
      <c r="G42" s="199"/>
    </row>
    <row r="43" spans="1:7" s="5" customFormat="1" ht="15" customHeight="1" x14ac:dyDescent="0.2">
      <c r="A43" s="58">
        <v>8</v>
      </c>
      <c r="B43" s="196" t="s">
        <v>177</v>
      </c>
      <c r="C43" s="196" t="s">
        <v>177</v>
      </c>
      <c r="D43" s="196" t="s">
        <v>177</v>
      </c>
      <c r="E43" s="197" t="s">
        <v>177</v>
      </c>
      <c r="F43" s="198">
        <v>5377384.6799999997</v>
      </c>
      <c r="G43" s="199"/>
    </row>
    <row r="44" spans="1:7" s="5" customFormat="1" ht="15" customHeight="1" x14ac:dyDescent="0.2">
      <c r="A44" s="58">
        <v>9</v>
      </c>
      <c r="B44" s="196" t="s">
        <v>178</v>
      </c>
      <c r="C44" s="196" t="s">
        <v>178</v>
      </c>
      <c r="D44" s="196" t="s">
        <v>178</v>
      </c>
      <c r="E44" s="197" t="s">
        <v>178</v>
      </c>
      <c r="F44" s="198">
        <v>1582504.8</v>
      </c>
      <c r="G44" s="199"/>
    </row>
    <row r="45" spans="1:7" s="5" customFormat="1" ht="15" customHeight="1" x14ac:dyDescent="0.2">
      <c r="A45" s="58">
        <v>10</v>
      </c>
      <c r="B45" s="196" t="s">
        <v>179</v>
      </c>
      <c r="C45" s="196" t="s">
        <v>179</v>
      </c>
      <c r="D45" s="196" t="s">
        <v>179</v>
      </c>
      <c r="E45" s="197" t="s">
        <v>179</v>
      </c>
      <c r="F45" s="204">
        <v>1414247.2500000002</v>
      </c>
      <c r="G45" s="205"/>
    </row>
    <row r="46" spans="1:7" s="5" customFormat="1" ht="15" customHeight="1" x14ac:dyDescent="0.2">
      <c r="A46" s="58">
        <v>11</v>
      </c>
      <c r="B46" s="196" t="s">
        <v>180</v>
      </c>
      <c r="C46" s="196" t="s">
        <v>180</v>
      </c>
      <c r="D46" s="196" t="s">
        <v>180</v>
      </c>
      <c r="E46" s="197" t="s">
        <v>180</v>
      </c>
      <c r="F46" s="204">
        <v>1204241.5</v>
      </c>
      <c r="G46" s="205"/>
    </row>
    <row r="47" spans="1:7" s="5" customFormat="1" ht="15" customHeight="1" x14ac:dyDescent="0.2">
      <c r="A47" s="58">
        <v>12</v>
      </c>
      <c r="B47" s="202" t="s">
        <v>184</v>
      </c>
      <c r="C47" s="202" t="s">
        <v>184</v>
      </c>
      <c r="D47" s="202" t="s">
        <v>184</v>
      </c>
      <c r="E47" s="203" t="s">
        <v>184</v>
      </c>
      <c r="F47" s="198">
        <v>130213.2</v>
      </c>
      <c r="G47" s="199"/>
    </row>
    <row r="48" spans="1:7" s="5" customFormat="1" ht="15" customHeight="1" x14ac:dyDescent="0.2">
      <c r="A48" s="58">
        <v>13</v>
      </c>
      <c r="B48" s="213" t="s">
        <v>185</v>
      </c>
      <c r="C48" s="213" t="s">
        <v>185</v>
      </c>
      <c r="D48" s="213" t="s">
        <v>185</v>
      </c>
      <c r="E48" s="214" t="s">
        <v>185</v>
      </c>
      <c r="F48" s="198">
        <v>2242229.5</v>
      </c>
      <c r="G48" s="199"/>
    </row>
    <row r="49" spans="1:7" s="5" customFormat="1" ht="15" customHeight="1" x14ac:dyDescent="0.2">
      <c r="A49" s="58">
        <v>14</v>
      </c>
      <c r="B49" s="202" t="s">
        <v>186</v>
      </c>
      <c r="C49" s="202" t="s">
        <v>186</v>
      </c>
      <c r="D49" s="202" t="s">
        <v>186</v>
      </c>
      <c r="E49" s="203" t="s">
        <v>186</v>
      </c>
      <c r="F49" s="198">
        <v>6813046.7549999999</v>
      </c>
      <c r="G49" s="199"/>
    </row>
    <row r="50" spans="1:7" s="5" customFormat="1" ht="15" customHeight="1" x14ac:dyDescent="0.2">
      <c r="A50" s="58">
        <v>15</v>
      </c>
      <c r="B50" s="202" t="s">
        <v>188</v>
      </c>
      <c r="C50" s="202" t="s">
        <v>188</v>
      </c>
      <c r="D50" s="202" t="s">
        <v>188</v>
      </c>
      <c r="E50" s="203" t="s">
        <v>188</v>
      </c>
      <c r="F50" s="198">
        <v>2153730.75</v>
      </c>
      <c r="G50" s="199"/>
    </row>
    <row r="51" spans="1:7" s="5" customFormat="1" ht="15" customHeight="1" x14ac:dyDescent="0.2">
      <c r="A51" s="67"/>
      <c r="B51" s="62" t="s">
        <v>127</v>
      </c>
      <c r="C51" s="62"/>
      <c r="D51" s="62"/>
      <c r="E51" s="63"/>
      <c r="F51" s="206">
        <f>SUM(F36:G50)</f>
        <v>238782083.58600003</v>
      </c>
      <c r="G51" s="207"/>
    </row>
    <row r="52" spans="1:7" s="5" customFormat="1" ht="15" customHeight="1" x14ac:dyDescent="0.25">
      <c r="A52" s="208" t="s">
        <v>128</v>
      </c>
      <c r="B52" s="209"/>
      <c r="C52" s="209"/>
      <c r="D52" s="209"/>
      <c r="E52" s="210"/>
      <c r="F52" s="211">
        <f>SUM(F34+F51)</f>
        <v>474880726</v>
      </c>
      <c r="G52" s="212"/>
    </row>
    <row r="53" spans="1:7" s="5" customFormat="1" ht="15" customHeight="1" x14ac:dyDescent="0.25">
      <c r="A53" s="215" t="s">
        <v>53</v>
      </c>
      <c r="B53" s="216"/>
      <c r="C53" s="216"/>
      <c r="D53" s="216"/>
      <c r="E53" s="217"/>
      <c r="F53" s="218">
        <f>560832+0.4</f>
        <v>560832.4</v>
      </c>
      <c r="G53" s="219"/>
    </row>
    <row r="54" spans="1:7" s="5" customFormat="1" ht="15" customHeight="1" x14ac:dyDescent="0.25">
      <c r="A54" s="215" t="s">
        <v>20</v>
      </c>
      <c r="B54" s="216"/>
      <c r="C54" s="216"/>
      <c r="D54" s="216"/>
      <c r="E54" s="217"/>
      <c r="F54" s="218">
        <f>24023073+0.4</f>
        <v>24023073.399999999</v>
      </c>
      <c r="G54" s="219"/>
    </row>
    <row r="55" spans="1:7" s="5" customFormat="1" ht="15" customHeight="1" thickBot="1" x14ac:dyDescent="0.3">
      <c r="A55" s="215" t="s">
        <v>40</v>
      </c>
      <c r="B55" s="216"/>
      <c r="C55" s="216"/>
      <c r="D55" s="216"/>
      <c r="E55" s="217"/>
      <c r="F55" s="218"/>
      <c r="G55" s="219"/>
    </row>
    <row r="56" spans="1:7" ht="15" customHeight="1" thickBot="1" x14ac:dyDescent="0.3">
      <c r="A56" s="64" t="s">
        <v>23</v>
      </c>
      <c r="B56" s="65"/>
      <c r="C56" s="65"/>
      <c r="D56" s="65"/>
      <c r="E56" s="65"/>
      <c r="F56" s="220">
        <f>SUM(F52:G55)</f>
        <v>499464631.79999995</v>
      </c>
      <c r="G56" s="221"/>
    </row>
    <row r="57" spans="1:7" ht="15" hidden="1" x14ac:dyDescent="0.2">
      <c r="A57" s="57"/>
      <c r="B57" s="57"/>
      <c r="C57" s="57"/>
      <c r="D57" s="57"/>
      <c r="E57" s="57"/>
      <c r="F57" s="57"/>
      <c r="G57" s="57"/>
    </row>
  </sheetData>
  <sheetProtection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14"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1" width="6.140625" customWidth="1"/>
    <col min="2" max="2" width="4.5703125" customWidth="1"/>
    <col min="3" max="4" width="3.5703125" customWidth="1"/>
    <col min="5" max="5" width="63.140625" customWidth="1"/>
    <col min="6" max="6" width="10.85546875" customWidth="1"/>
    <col min="7" max="7" width="27.42578125" customWidth="1"/>
    <col min="8" max="16384" width="9.140625" hidden="1"/>
  </cols>
  <sheetData>
    <row r="1" spans="1:7" ht="72" customHeight="1" x14ac:dyDescent="0.2">
      <c r="A1" s="265" t="s">
        <v>238</v>
      </c>
      <c r="B1" s="265"/>
      <c r="C1" s="265"/>
      <c r="D1" s="265"/>
      <c r="E1" s="265"/>
      <c r="F1" s="265"/>
      <c r="G1" s="265"/>
    </row>
    <row r="2" spans="1:7" ht="25.5" customHeight="1" x14ac:dyDescent="0.25">
      <c r="A2" s="257" t="s">
        <v>8</v>
      </c>
      <c r="B2" s="257"/>
      <c r="C2" s="257"/>
      <c r="D2" s="266" t="str">
        <f>'CSS '!D2:E2</f>
        <v>Los Angeles</v>
      </c>
      <c r="E2" s="266"/>
      <c r="F2" s="74" t="s">
        <v>9</v>
      </c>
      <c r="G2" s="75">
        <f>'CSS '!G2</f>
        <v>42479</v>
      </c>
    </row>
    <row r="3" spans="1:7" ht="15" customHeight="1" x14ac:dyDescent="0.25">
      <c r="A3" s="76"/>
      <c r="B3" s="54"/>
      <c r="C3" s="54"/>
      <c r="D3" s="259"/>
      <c r="E3" s="259"/>
      <c r="F3" s="77"/>
      <c r="G3" s="78"/>
    </row>
    <row r="4" spans="1:7" ht="15" customHeight="1" x14ac:dyDescent="0.2">
      <c r="A4" s="79"/>
      <c r="B4" s="78"/>
      <c r="C4" s="78"/>
      <c r="D4" s="78"/>
      <c r="E4" s="78"/>
      <c r="F4" s="78"/>
      <c r="G4" s="78"/>
    </row>
    <row r="5" spans="1:7" s="3" customFormat="1" ht="20.25" customHeight="1" x14ac:dyDescent="0.25">
      <c r="A5" s="234" t="s">
        <v>55</v>
      </c>
      <c r="B5" s="235"/>
      <c r="C5" s="235"/>
      <c r="D5" s="235"/>
      <c r="E5" s="236"/>
      <c r="F5" s="267" t="s">
        <v>0</v>
      </c>
      <c r="G5" s="268"/>
    </row>
    <row r="6" spans="1:7" s="1" customFormat="1" ht="34.5" customHeight="1" x14ac:dyDescent="0.25">
      <c r="A6" s="240"/>
      <c r="B6" s="241"/>
      <c r="C6" s="241"/>
      <c r="D6" s="241"/>
      <c r="E6" s="242"/>
      <c r="F6" s="269" t="s">
        <v>59</v>
      </c>
      <c r="G6" s="270"/>
    </row>
    <row r="7" spans="1:7" ht="20.25" customHeight="1" x14ac:dyDescent="0.25">
      <c r="A7" s="208" t="s">
        <v>134</v>
      </c>
      <c r="B7" s="249"/>
      <c r="C7" s="249"/>
      <c r="D7" s="249"/>
      <c r="E7" s="250"/>
      <c r="F7" s="261"/>
      <c r="G7" s="262"/>
    </row>
    <row r="8" spans="1:7" ht="15" customHeight="1" x14ac:dyDescent="0.2">
      <c r="A8" s="58">
        <v>1</v>
      </c>
      <c r="B8" s="271" t="s">
        <v>203</v>
      </c>
      <c r="C8" s="271" t="s">
        <v>191</v>
      </c>
      <c r="D8" s="271" t="s">
        <v>191</v>
      </c>
      <c r="E8" s="272" t="s">
        <v>191</v>
      </c>
      <c r="F8" s="69"/>
      <c r="G8" s="70">
        <v>1205867</v>
      </c>
    </row>
    <row r="9" spans="1:7" ht="15" customHeight="1" x14ac:dyDescent="0.2">
      <c r="A9" s="58">
        <v>2</v>
      </c>
      <c r="B9" s="271" t="s">
        <v>204</v>
      </c>
      <c r="C9" s="271" t="s">
        <v>192</v>
      </c>
      <c r="D9" s="271" t="s">
        <v>192</v>
      </c>
      <c r="E9" s="272" t="s">
        <v>192</v>
      </c>
      <c r="F9" s="69"/>
      <c r="G9" s="70">
        <v>1749062</v>
      </c>
    </row>
    <row r="10" spans="1:7" ht="15" customHeight="1" x14ac:dyDescent="0.2">
      <c r="A10" s="58">
        <v>3</v>
      </c>
      <c r="B10" s="271" t="s">
        <v>205</v>
      </c>
      <c r="C10" s="271" t="s">
        <v>193</v>
      </c>
      <c r="D10" s="271" t="s">
        <v>193</v>
      </c>
      <c r="E10" s="272" t="s">
        <v>193</v>
      </c>
      <c r="F10" s="69"/>
      <c r="G10" s="70">
        <v>1667017</v>
      </c>
    </row>
    <row r="11" spans="1:7" ht="15" customHeight="1" x14ac:dyDescent="0.2">
      <c r="A11" s="58">
        <v>4</v>
      </c>
      <c r="B11" s="71" t="s">
        <v>210</v>
      </c>
      <c r="C11" s="71"/>
      <c r="D11" s="71"/>
      <c r="E11" s="72"/>
      <c r="F11" s="69"/>
      <c r="G11" s="70">
        <v>75544</v>
      </c>
    </row>
    <row r="12" spans="1:7" ht="15" customHeight="1" x14ac:dyDescent="0.2">
      <c r="A12" s="58">
        <v>5</v>
      </c>
      <c r="B12" s="71" t="s">
        <v>211</v>
      </c>
      <c r="C12" s="71"/>
      <c r="D12" s="71"/>
      <c r="E12" s="72"/>
      <c r="F12" s="69"/>
      <c r="G12" s="70">
        <v>668453</v>
      </c>
    </row>
    <row r="13" spans="1:7" ht="15" customHeight="1" x14ac:dyDescent="0.2">
      <c r="A13" s="58">
        <v>6</v>
      </c>
      <c r="B13" s="71" t="s">
        <v>212</v>
      </c>
      <c r="C13" s="71"/>
      <c r="D13" s="71"/>
      <c r="E13" s="72"/>
      <c r="F13" s="69"/>
      <c r="G13" s="70">
        <v>1755085</v>
      </c>
    </row>
    <row r="14" spans="1:7" ht="15" customHeight="1" x14ac:dyDescent="0.2">
      <c r="A14" s="58">
        <v>7</v>
      </c>
      <c r="B14" s="71" t="s">
        <v>213</v>
      </c>
      <c r="C14" s="71"/>
      <c r="D14" s="71"/>
      <c r="E14" s="72"/>
      <c r="F14" s="69"/>
      <c r="G14" s="70">
        <v>628674</v>
      </c>
    </row>
    <row r="15" spans="1:7" ht="15" customHeight="1" x14ac:dyDescent="0.2">
      <c r="A15" s="58">
        <v>8</v>
      </c>
      <c r="B15" s="263" t="s">
        <v>214</v>
      </c>
      <c r="C15" s="263" t="s">
        <v>201</v>
      </c>
      <c r="D15" s="263" t="s">
        <v>201</v>
      </c>
      <c r="E15" s="264" t="s">
        <v>201</v>
      </c>
      <c r="F15" s="69"/>
      <c r="G15" s="70">
        <v>11165835</v>
      </c>
    </row>
    <row r="16" spans="1:7" ht="15" customHeight="1" x14ac:dyDescent="0.2">
      <c r="A16" s="58">
        <v>9</v>
      </c>
      <c r="B16" s="263" t="s">
        <v>215</v>
      </c>
      <c r="C16" s="263" t="s">
        <v>202</v>
      </c>
      <c r="D16" s="263" t="s">
        <v>202</v>
      </c>
      <c r="E16" s="264" t="s">
        <v>202</v>
      </c>
      <c r="F16" s="69"/>
      <c r="G16" s="70">
        <v>573710</v>
      </c>
    </row>
    <row r="17" spans="1:7" ht="15" customHeight="1" x14ac:dyDescent="0.2">
      <c r="A17" s="58">
        <v>10</v>
      </c>
      <c r="B17" s="213"/>
      <c r="C17" s="213"/>
      <c r="D17" s="213"/>
      <c r="E17" s="214"/>
      <c r="F17" s="218"/>
      <c r="G17" s="219"/>
    </row>
    <row r="18" spans="1:7" ht="15" customHeight="1" x14ac:dyDescent="0.2">
      <c r="A18" s="58">
        <v>11</v>
      </c>
      <c r="B18" s="213"/>
      <c r="C18" s="213"/>
      <c r="D18" s="213"/>
      <c r="E18" s="213"/>
      <c r="F18" s="218"/>
      <c r="G18" s="219"/>
    </row>
    <row r="19" spans="1:7" ht="15" customHeight="1" x14ac:dyDescent="0.2">
      <c r="A19" s="58">
        <v>12</v>
      </c>
      <c r="B19" s="263"/>
      <c r="C19" s="263"/>
      <c r="D19" s="263"/>
      <c r="E19" s="264"/>
      <c r="F19" s="279"/>
      <c r="G19" s="224"/>
    </row>
    <row r="20" spans="1:7" ht="15" customHeight="1" x14ac:dyDescent="0.2">
      <c r="A20" s="58">
        <v>13</v>
      </c>
      <c r="B20" s="263"/>
      <c r="C20" s="263"/>
      <c r="D20" s="263"/>
      <c r="E20" s="264"/>
      <c r="F20" s="279"/>
      <c r="G20" s="224"/>
    </row>
    <row r="21" spans="1:7" ht="15" customHeight="1" x14ac:dyDescent="0.2">
      <c r="A21" s="58">
        <v>14</v>
      </c>
      <c r="B21" s="213"/>
      <c r="C21" s="213"/>
      <c r="D21" s="213"/>
      <c r="E21" s="214"/>
      <c r="F21" s="218"/>
      <c r="G21" s="219"/>
    </row>
    <row r="22" spans="1:7" ht="15" customHeight="1" x14ac:dyDescent="0.2">
      <c r="A22" s="58">
        <v>15</v>
      </c>
      <c r="B22" s="213"/>
      <c r="C22" s="213"/>
      <c r="D22" s="213"/>
      <c r="E22" s="213"/>
      <c r="F22" s="218"/>
      <c r="G22" s="219"/>
    </row>
    <row r="23" spans="1:7" s="5" customFormat="1" ht="15" customHeight="1" x14ac:dyDescent="0.2">
      <c r="A23" s="68"/>
      <c r="B23" s="225" t="s">
        <v>135</v>
      </c>
      <c r="C23" s="225"/>
      <c r="D23" s="225"/>
      <c r="E23" s="226"/>
      <c r="F23" s="206">
        <f>SUM(F8:G22)</f>
        <v>19489247</v>
      </c>
      <c r="G23" s="207"/>
    </row>
    <row r="24" spans="1:7" ht="21" customHeight="1" x14ac:dyDescent="0.25">
      <c r="A24" s="215" t="s">
        <v>133</v>
      </c>
      <c r="B24" s="216"/>
      <c r="C24" s="216"/>
      <c r="D24" s="216"/>
      <c r="E24" s="217"/>
      <c r="F24" s="227"/>
      <c r="G24" s="228"/>
    </row>
    <row r="25" spans="1:7" ht="15" customHeight="1" x14ac:dyDescent="0.2">
      <c r="A25" s="58">
        <v>1</v>
      </c>
      <c r="B25" s="271" t="s">
        <v>203</v>
      </c>
      <c r="C25" s="271" t="s">
        <v>191</v>
      </c>
      <c r="D25" s="271" t="s">
        <v>191</v>
      </c>
      <c r="E25" s="272" t="s">
        <v>191</v>
      </c>
      <c r="F25" s="73"/>
      <c r="G25" s="70">
        <v>22911470</v>
      </c>
    </row>
    <row r="26" spans="1:7" ht="15" customHeight="1" x14ac:dyDescent="0.2">
      <c r="A26" s="58">
        <v>2</v>
      </c>
      <c r="B26" s="271" t="s">
        <v>204</v>
      </c>
      <c r="C26" s="271" t="s">
        <v>192</v>
      </c>
      <c r="D26" s="271" t="s">
        <v>192</v>
      </c>
      <c r="E26" s="272" t="s">
        <v>192</v>
      </c>
      <c r="F26" s="73"/>
      <c r="G26" s="70">
        <v>33232180</v>
      </c>
    </row>
    <row r="27" spans="1:7" ht="15" customHeight="1" x14ac:dyDescent="0.2">
      <c r="A27" s="58">
        <v>3</v>
      </c>
      <c r="B27" s="271" t="s">
        <v>205</v>
      </c>
      <c r="C27" s="271" t="s">
        <v>193</v>
      </c>
      <c r="D27" s="271" t="s">
        <v>193</v>
      </c>
      <c r="E27" s="272" t="s">
        <v>193</v>
      </c>
      <c r="F27" s="73"/>
      <c r="G27" s="70">
        <v>31673316</v>
      </c>
    </row>
    <row r="28" spans="1:7" ht="15" customHeight="1" x14ac:dyDescent="0.2">
      <c r="A28" s="58">
        <v>4</v>
      </c>
      <c r="B28" s="271" t="s">
        <v>206</v>
      </c>
      <c r="C28" s="271" t="s">
        <v>194</v>
      </c>
      <c r="D28" s="271" t="s">
        <v>194</v>
      </c>
      <c r="E28" s="272" t="s">
        <v>194</v>
      </c>
      <c r="F28" s="73"/>
      <c r="G28" s="70">
        <v>73535256</v>
      </c>
    </row>
    <row r="29" spans="1:7" ht="15" customHeight="1" x14ac:dyDescent="0.2">
      <c r="A29" s="58">
        <v>5</v>
      </c>
      <c r="B29" s="263" t="s">
        <v>207</v>
      </c>
      <c r="C29" s="263" t="s">
        <v>195</v>
      </c>
      <c r="D29" s="263" t="s">
        <v>195</v>
      </c>
      <c r="E29" s="264" t="s">
        <v>195</v>
      </c>
      <c r="F29" s="73"/>
      <c r="G29" s="70">
        <v>12922913</v>
      </c>
    </row>
    <row r="30" spans="1:7" ht="15" customHeight="1" x14ac:dyDescent="0.2">
      <c r="A30" s="58">
        <v>6</v>
      </c>
      <c r="B30" s="263" t="s">
        <v>208</v>
      </c>
      <c r="C30" s="263" t="s">
        <v>196</v>
      </c>
      <c r="D30" s="263" t="s">
        <v>196</v>
      </c>
      <c r="E30" s="264" t="s">
        <v>196</v>
      </c>
      <c r="F30" s="73"/>
      <c r="G30" s="70">
        <v>42416606</v>
      </c>
    </row>
    <row r="31" spans="1:7" ht="15" customHeight="1" x14ac:dyDescent="0.2">
      <c r="A31" s="58">
        <v>7</v>
      </c>
      <c r="B31" s="263" t="s">
        <v>209</v>
      </c>
      <c r="C31" s="263" t="s">
        <v>197</v>
      </c>
      <c r="D31" s="263" t="s">
        <v>197</v>
      </c>
      <c r="E31" s="264" t="s">
        <v>197</v>
      </c>
      <c r="F31" s="73"/>
      <c r="G31" s="70">
        <v>18229484</v>
      </c>
    </row>
    <row r="32" spans="1:7" ht="15" customHeight="1" x14ac:dyDescent="0.2">
      <c r="A32" s="58">
        <v>8</v>
      </c>
      <c r="B32" s="263" t="s">
        <v>210</v>
      </c>
      <c r="C32" s="263" t="s">
        <v>198</v>
      </c>
      <c r="D32" s="263" t="s">
        <v>198</v>
      </c>
      <c r="E32" s="264" t="s">
        <v>198</v>
      </c>
      <c r="F32" s="73"/>
      <c r="G32" s="70">
        <v>2442606</v>
      </c>
    </row>
    <row r="33" spans="1:7" ht="15" customHeight="1" x14ac:dyDescent="0.2">
      <c r="A33" s="58">
        <v>9</v>
      </c>
      <c r="B33" s="263" t="s">
        <v>211</v>
      </c>
      <c r="C33" s="263" t="s">
        <v>199</v>
      </c>
      <c r="D33" s="263" t="s">
        <v>199</v>
      </c>
      <c r="E33" s="264" t="s">
        <v>199</v>
      </c>
      <c r="F33" s="73"/>
      <c r="G33" s="70">
        <v>12700616</v>
      </c>
    </row>
    <row r="34" spans="1:7" ht="15" customHeight="1" x14ac:dyDescent="0.2">
      <c r="A34" s="58">
        <v>10</v>
      </c>
      <c r="B34" s="263" t="s">
        <v>213</v>
      </c>
      <c r="C34" s="263" t="s">
        <v>200</v>
      </c>
      <c r="D34" s="263" t="s">
        <v>200</v>
      </c>
      <c r="E34" s="264" t="s">
        <v>200</v>
      </c>
      <c r="F34" s="73"/>
      <c r="G34" s="70">
        <v>69853</v>
      </c>
    </row>
    <row r="35" spans="1:7" ht="15" customHeight="1" x14ac:dyDescent="0.2">
      <c r="A35" s="58">
        <v>11</v>
      </c>
      <c r="B35" s="263"/>
      <c r="C35" s="263"/>
      <c r="D35" s="263"/>
      <c r="E35" s="264"/>
      <c r="F35" s="218"/>
      <c r="G35" s="219"/>
    </row>
    <row r="36" spans="1:7" ht="15" customHeight="1" x14ac:dyDescent="0.2">
      <c r="A36" s="58">
        <v>12</v>
      </c>
      <c r="B36" s="263"/>
      <c r="C36" s="263"/>
      <c r="D36" s="263"/>
      <c r="E36" s="264"/>
      <c r="F36" s="218"/>
      <c r="G36" s="219"/>
    </row>
    <row r="37" spans="1:7" ht="15" customHeight="1" x14ac:dyDescent="0.2">
      <c r="A37" s="58">
        <v>13</v>
      </c>
      <c r="B37" s="263"/>
      <c r="C37" s="263"/>
      <c r="D37" s="263"/>
      <c r="E37" s="264"/>
      <c r="F37" s="218"/>
      <c r="G37" s="219"/>
    </row>
    <row r="38" spans="1:7" ht="15" customHeight="1" x14ac:dyDescent="0.2">
      <c r="A38" s="58">
        <v>14</v>
      </c>
      <c r="B38" s="213"/>
      <c r="C38" s="213"/>
      <c r="D38" s="213"/>
      <c r="E38" s="214"/>
      <c r="F38" s="218"/>
      <c r="G38" s="219"/>
    </row>
    <row r="39" spans="1:7" ht="15" customHeight="1" x14ac:dyDescent="0.2">
      <c r="A39" s="58">
        <v>15</v>
      </c>
      <c r="B39" s="213"/>
      <c r="C39" s="213"/>
      <c r="D39" s="213"/>
      <c r="E39" s="214"/>
      <c r="F39" s="218"/>
      <c r="G39" s="219"/>
    </row>
    <row r="40" spans="1:7" s="5" customFormat="1" ht="15" customHeight="1" x14ac:dyDescent="0.2">
      <c r="A40" s="68"/>
      <c r="B40" s="225" t="s">
        <v>135</v>
      </c>
      <c r="C40" s="225"/>
      <c r="D40" s="225"/>
      <c r="E40" s="226"/>
      <c r="F40" s="206">
        <f>SUM(F25:G39)</f>
        <v>250134300</v>
      </c>
      <c r="G40" s="207"/>
    </row>
    <row r="41" spans="1:7" ht="15" customHeight="1" x14ac:dyDescent="0.25">
      <c r="A41" s="215" t="s">
        <v>139</v>
      </c>
      <c r="B41" s="216"/>
      <c r="C41" s="216"/>
      <c r="D41" s="216"/>
      <c r="E41" s="217"/>
      <c r="F41" s="227"/>
      <c r="G41" s="228"/>
    </row>
    <row r="42" spans="1:7" ht="15" customHeight="1" x14ac:dyDescent="0.2">
      <c r="A42" s="58">
        <v>1</v>
      </c>
      <c r="B42" s="213"/>
      <c r="C42" s="213"/>
      <c r="D42" s="213"/>
      <c r="E42" s="214"/>
      <c r="F42" s="218"/>
      <c r="G42" s="219"/>
    </row>
    <row r="43" spans="1:7" ht="15" customHeight="1" x14ac:dyDescent="0.2">
      <c r="A43" s="58">
        <v>2</v>
      </c>
      <c r="B43" s="213"/>
      <c r="C43" s="213"/>
      <c r="D43" s="213"/>
      <c r="E43" s="214"/>
      <c r="F43" s="218"/>
      <c r="G43" s="219"/>
    </row>
    <row r="44" spans="1:7" ht="15" customHeight="1" x14ac:dyDescent="0.2">
      <c r="A44" s="58">
        <v>3</v>
      </c>
      <c r="B44" s="213"/>
      <c r="C44" s="213"/>
      <c r="D44" s="213"/>
      <c r="E44" s="214"/>
      <c r="F44" s="218"/>
      <c r="G44" s="219"/>
    </row>
    <row r="45" spans="1:7" s="5" customFormat="1" ht="15" customHeight="1" x14ac:dyDescent="0.2">
      <c r="A45" s="59"/>
      <c r="B45" s="225" t="s">
        <v>136</v>
      </c>
      <c r="C45" s="225"/>
      <c r="D45" s="225"/>
      <c r="E45" s="226"/>
      <c r="F45" s="206">
        <f>SUM(F42:G44)</f>
        <v>0</v>
      </c>
      <c r="G45" s="207"/>
    </row>
    <row r="46" spans="1:7" ht="18.75" customHeight="1" x14ac:dyDescent="0.25">
      <c r="A46" s="273" t="s">
        <v>137</v>
      </c>
      <c r="B46" s="274"/>
      <c r="C46" s="274"/>
      <c r="D46" s="274"/>
      <c r="E46" s="275"/>
      <c r="F46" s="282">
        <f>F23+F40+F45</f>
        <v>269623547</v>
      </c>
      <c r="G46" s="283"/>
    </row>
    <row r="47" spans="1:7" s="5" customFormat="1" ht="18" customHeight="1" x14ac:dyDescent="0.25">
      <c r="A47" s="215" t="s">
        <v>56</v>
      </c>
      <c r="B47" s="216"/>
      <c r="C47" s="216"/>
      <c r="D47" s="216"/>
      <c r="E47" s="217"/>
      <c r="F47" s="218">
        <f>914032-0.4</f>
        <v>914031.6</v>
      </c>
      <c r="G47" s="219"/>
    </row>
    <row r="48" spans="1:7" s="5" customFormat="1" ht="19.5" customHeight="1" thickBot="1" x14ac:dyDescent="0.3">
      <c r="A48" s="215" t="s">
        <v>21</v>
      </c>
      <c r="B48" s="216"/>
      <c r="C48" s="216"/>
      <c r="D48" s="216"/>
      <c r="E48" s="217"/>
      <c r="F48" s="218">
        <f>5302612+6545857-0.3</f>
        <v>11848468.699999999</v>
      </c>
      <c r="G48" s="219"/>
    </row>
    <row r="49" spans="1:7" ht="21" customHeight="1" thickBot="1" x14ac:dyDescent="0.3">
      <c r="A49" s="276" t="s">
        <v>22</v>
      </c>
      <c r="B49" s="277"/>
      <c r="C49" s="277"/>
      <c r="D49" s="277"/>
      <c r="E49" s="278"/>
      <c r="F49" s="280">
        <f>SUM(F46:G48)</f>
        <v>282386047.30000001</v>
      </c>
      <c r="G49" s="281"/>
    </row>
  </sheetData>
  <sheetProtection sheet="1" selectLockedCells="1"/>
  <mergeCells count="70">
    <mergeCell ref="F23:G23"/>
    <mergeCell ref="B45:E45"/>
    <mergeCell ref="F45:G45"/>
    <mergeCell ref="B40:E40"/>
    <mergeCell ref="F40:G40"/>
    <mergeCell ref="B34:E34"/>
    <mergeCell ref="B35:E35"/>
    <mergeCell ref="F35:G35"/>
    <mergeCell ref="B36:E36"/>
    <mergeCell ref="F36:G36"/>
    <mergeCell ref="A41:E41"/>
    <mergeCell ref="F24:G24"/>
    <mergeCell ref="F41:G41"/>
    <mergeCell ref="F42:G42"/>
    <mergeCell ref="F39:G39"/>
    <mergeCell ref="F38:G38"/>
    <mergeCell ref="F37:G37"/>
    <mergeCell ref="F20:G20"/>
    <mergeCell ref="B21:E21"/>
    <mergeCell ref="F21:G21"/>
    <mergeCell ref="B22:E22"/>
    <mergeCell ref="F22:G22"/>
    <mergeCell ref="F49:G49"/>
    <mergeCell ref="F43:G43"/>
    <mergeCell ref="F44:G44"/>
    <mergeCell ref="F48:G48"/>
    <mergeCell ref="F47:G47"/>
    <mergeCell ref="F46:G46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0:E10"/>
    <mergeCell ref="B20:E20"/>
    <mergeCell ref="A24:E24"/>
    <mergeCell ref="B23:E23"/>
    <mergeCell ref="B39:E39"/>
    <mergeCell ref="B42:E42"/>
    <mergeCell ref="A48:E48"/>
    <mergeCell ref="B43:E43"/>
    <mergeCell ref="B38:E38"/>
    <mergeCell ref="A46:E46"/>
    <mergeCell ref="B30:E30"/>
    <mergeCell ref="B31:E31"/>
    <mergeCell ref="B8:E8"/>
    <mergeCell ref="B9:E9"/>
    <mergeCell ref="B29:E29"/>
    <mergeCell ref="B25:E25"/>
    <mergeCell ref="B15:E15"/>
    <mergeCell ref="B16:E16"/>
    <mergeCell ref="B19:E19"/>
    <mergeCell ref="A1:G1"/>
    <mergeCell ref="D2:E2"/>
    <mergeCell ref="B17:E17"/>
    <mergeCell ref="F17:G17"/>
    <mergeCell ref="F5:G5"/>
    <mergeCell ref="F6:G6"/>
    <mergeCell ref="F18:G18"/>
    <mergeCell ref="F19:G19"/>
    <mergeCell ref="A7:E7"/>
    <mergeCell ref="F7:G7"/>
    <mergeCell ref="D3:E3"/>
    <mergeCell ref="A2:C2"/>
    <mergeCell ref="B18:E18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="90" zoomScaleNormal="90" zoomScaleSheetLayoutView="100" workbookViewId="0">
      <selection activeCell="B8" sqref="B8:E8"/>
    </sheetView>
  </sheetViews>
  <sheetFormatPr defaultColWidth="0" defaultRowHeight="12.75" zeroHeight="1" x14ac:dyDescent="0.2"/>
  <cols>
    <col min="1" max="1" width="5" customWidth="1"/>
    <col min="2" max="2" width="4.28515625" customWidth="1"/>
    <col min="3" max="4" width="3.5703125" customWidth="1"/>
    <col min="5" max="5" width="49.28515625" customWidth="1"/>
    <col min="6" max="6" width="7.42578125" customWidth="1"/>
    <col min="7" max="7" width="32.85546875" customWidth="1"/>
    <col min="8" max="8" width="12.42578125" hidden="1" customWidth="1"/>
    <col min="9" max="11" width="0" hidden="1" customWidth="1"/>
    <col min="12" max="16384" width="9.140625" hidden="1"/>
  </cols>
  <sheetData>
    <row r="1" spans="1:8" ht="60.75" customHeight="1" x14ac:dyDescent="0.2">
      <c r="A1" s="295" t="s">
        <v>239</v>
      </c>
      <c r="B1" s="295"/>
      <c r="C1" s="295"/>
      <c r="D1" s="295"/>
      <c r="E1" s="295"/>
      <c r="F1" s="295"/>
      <c r="G1" s="295"/>
    </row>
    <row r="2" spans="1:8" ht="20.100000000000001" customHeight="1" x14ac:dyDescent="0.25">
      <c r="A2" s="257" t="s">
        <v>8</v>
      </c>
      <c r="B2" s="257"/>
      <c r="C2" s="257"/>
      <c r="D2" s="266" t="str">
        <f>'CSS '!D2:E2</f>
        <v>Los Angeles</v>
      </c>
      <c r="E2" s="266"/>
      <c r="F2" s="74" t="s">
        <v>9</v>
      </c>
      <c r="G2" s="75">
        <f>'CSS '!G2</f>
        <v>42479</v>
      </c>
      <c r="H2" s="34"/>
    </row>
    <row r="3" spans="1:8" ht="15" customHeight="1" x14ac:dyDescent="0.25">
      <c r="A3" s="54"/>
      <c r="B3" s="54"/>
      <c r="C3" s="54"/>
      <c r="D3" s="259"/>
      <c r="E3" s="259"/>
      <c r="F3" s="77"/>
      <c r="G3" s="55"/>
    </row>
    <row r="4" spans="1:8" ht="15" customHeight="1" x14ac:dyDescent="0.2">
      <c r="A4" s="55"/>
      <c r="B4" s="55"/>
      <c r="C4" s="55"/>
      <c r="D4" s="55"/>
      <c r="E4" s="55"/>
      <c r="F4" s="55"/>
      <c r="G4" s="55"/>
    </row>
    <row r="5" spans="1:8" s="3" customFormat="1" ht="24.75" customHeight="1" x14ac:dyDescent="0.25">
      <c r="A5" s="234" t="s">
        <v>57</v>
      </c>
      <c r="B5" s="235"/>
      <c r="C5" s="235"/>
      <c r="D5" s="235"/>
      <c r="E5" s="236"/>
      <c r="F5" s="267" t="s">
        <v>0</v>
      </c>
      <c r="G5" s="268"/>
    </row>
    <row r="6" spans="1:8" s="1" customFormat="1" ht="42" customHeight="1" x14ac:dyDescent="0.2">
      <c r="A6" s="240"/>
      <c r="B6" s="241"/>
      <c r="C6" s="241"/>
      <c r="D6" s="241"/>
      <c r="E6" s="242"/>
      <c r="F6" s="247" t="s">
        <v>59</v>
      </c>
      <c r="G6" s="248"/>
    </row>
    <row r="7" spans="1:8" ht="15" customHeight="1" x14ac:dyDescent="0.25">
      <c r="A7" s="208" t="s">
        <v>34</v>
      </c>
      <c r="B7" s="209"/>
      <c r="C7" s="209"/>
      <c r="D7" s="209"/>
      <c r="E7" s="210"/>
      <c r="F7" s="296"/>
      <c r="G7" s="297"/>
    </row>
    <row r="8" spans="1:8" ht="15" customHeight="1" x14ac:dyDescent="0.2">
      <c r="A8" s="58">
        <v>1</v>
      </c>
      <c r="B8" s="213" t="s">
        <v>150</v>
      </c>
      <c r="C8" s="213" t="s">
        <v>150</v>
      </c>
      <c r="D8" s="213" t="s">
        <v>150</v>
      </c>
      <c r="E8" s="214" t="s">
        <v>150</v>
      </c>
      <c r="F8" s="284">
        <v>5495406</v>
      </c>
      <c r="G8" s="285"/>
    </row>
    <row r="9" spans="1:8" ht="15" customHeight="1" x14ac:dyDescent="0.2">
      <c r="A9" s="58">
        <v>2</v>
      </c>
      <c r="B9" s="213" t="s">
        <v>151</v>
      </c>
      <c r="C9" s="213" t="s">
        <v>151</v>
      </c>
      <c r="D9" s="213" t="s">
        <v>151</v>
      </c>
      <c r="E9" s="214" t="s">
        <v>151</v>
      </c>
      <c r="F9" s="284">
        <v>9276875</v>
      </c>
      <c r="G9" s="285"/>
    </row>
    <row r="10" spans="1:8" ht="15" customHeight="1" x14ac:dyDescent="0.2">
      <c r="A10" s="58">
        <v>3</v>
      </c>
      <c r="B10" s="213" t="s">
        <v>152</v>
      </c>
      <c r="C10" s="213" t="s">
        <v>152</v>
      </c>
      <c r="D10" s="213" t="s">
        <v>152</v>
      </c>
      <c r="E10" s="214" t="s">
        <v>152</v>
      </c>
      <c r="F10" s="284">
        <v>2141661</v>
      </c>
      <c r="G10" s="285"/>
    </row>
    <row r="11" spans="1:8" ht="15" customHeight="1" x14ac:dyDescent="0.2">
      <c r="A11" s="58">
        <v>4</v>
      </c>
      <c r="B11" s="213" t="s">
        <v>153</v>
      </c>
      <c r="C11" s="213" t="s">
        <v>153</v>
      </c>
      <c r="D11" s="213" t="s">
        <v>153</v>
      </c>
      <c r="E11" s="214" t="s">
        <v>153</v>
      </c>
      <c r="F11" s="284">
        <v>12390220</v>
      </c>
      <c r="G11" s="285"/>
    </row>
    <row r="12" spans="1:8" ht="15" customHeight="1" x14ac:dyDescent="0.2">
      <c r="A12" s="58">
        <v>5</v>
      </c>
      <c r="B12" s="213"/>
      <c r="C12" s="213"/>
      <c r="D12" s="213"/>
      <c r="E12" s="214"/>
      <c r="F12" s="284"/>
      <c r="G12" s="285"/>
    </row>
    <row r="13" spans="1:8" ht="15" customHeight="1" x14ac:dyDescent="0.2">
      <c r="A13" s="58">
        <v>6</v>
      </c>
      <c r="B13" s="213"/>
      <c r="C13" s="213"/>
      <c r="D13" s="213"/>
      <c r="E13" s="214"/>
      <c r="F13" s="284"/>
      <c r="G13" s="285"/>
    </row>
    <row r="14" spans="1:8" ht="15" customHeight="1" x14ac:dyDescent="0.2">
      <c r="A14" s="58">
        <v>7</v>
      </c>
      <c r="B14" s="213"/>
      <c r="C14" s="213"/>
      <c r="D14" s="213"/>
      <c r="E14" s="214"/>
      <c r="F14" s="284"/>
      <c r="G14" s="285"/>
    </row>
    <row r="15" spans="1:8" ht="15" customHeight="1" x14ac:dyDescent="0.2">
      <c r="A15" s="58">
        <v>8</v>
      </c>
      <c r="B15" s="213"/>
      <c r="C15" s="213"/>
      <c r="D15" s="213"/>
      <c r="E15" s="214"/>
      <c r="F15" s="284"/>
      <c r="G15" s="285"/>
    </row>
    <row r="16" spans="1:8" ht="15" customHeight="1" x14ac:dyDescent="0.2">
      <c r="A16" s="58">
        <v>9</v>
      </c>
      <c r="B16" s="213"/>
      <c r="C16" s="213"/>
      <c r="D16" s="213"/>
      <c r="E16" s="214"/>
      <c r="F16" s="284"/>
      <c r="G16" s="285"/>
    </row>
    <row r="17" spans="1:7" ht="15" customHeight="1" x14ac:dyDescent="0.2">
      <c r="A17" s="58">
        <v>10</v>
      </c>
      <c r="B17" s="213"/>
      <c r="C17" s="213"/>
      <c r="D17" s="213"/>
      <c r="E17" s="214"/>
      <c r="F17" s="284"/>
      <c r="G17" s="285"/>
    </row>
    <row r="18" spans="1:7" ht="15" customHeight="1" x14ac:dyDescent="0.2">
      <c r="A18" s="58">
        <v>11</v>
      </c>
      <c r="B18" s="213"/>
      <c r="C18" s="213"/>
      <c r="D18" s="213"/>
      <c r="E18" s="214"/>
      <c r="F18" s="284"/>
      <c r="G18" s="285"/>
    </row>
    <row r="19" spans="1:7" ht="15" customHeight="1" x14ac:dyDescent="0.2">
      <c r="A19" s="58">
        <v>12</v>
      </c>
      <c r="B19" s="213"/>
      <c r="C19" s="213"/>
      <c r="D19" s="213"/>
      <c r="E19" s="214"/>
      <c r="F19" s="284"/>
      <c r="G19" s="285"/>
    </row>
    <row r="20" spans="1:7" ht="15" customHeight="1" x14ac:dyDescent="0.2">
      <c r="A20" s="58">
        <v>13</v>
      </c>
      <c r="B20" s="213"/>
      <c r="C20" s="213"/>
      <c r="D20" s="213"/>
      <c r="E20" s="214"/>
      <c r="F20" s="284"/>
      <c r="G20" s="285"/>
    </row>
    <row r="21" spans="1:7" ht="15" customHeight="1" x14ac:dyDescent="0.2">
      <c r="A21" s="58">
        <v>14</v>
      </c>
      <c r="B21" s="213"/>
      <c r="C21" s="213"/>
      <c r="D21" s="213"/>
      <c r="E21" s="214"/>
      <c r="F21" s="284"/>
      <c r="G21" s="285"/>
    </row>
    <row r="22" spans="1:7" ht="15" customHeight="1" x14ac:dyDescent="0.2">
      <c r="A22" s="58">
        <v>15</v>
      </c>
      <c r="B22" s="213"/>
      <c r="C22" s="213"/>
      <c r="D22" s="213"/>
      <c r="E22" s="214"/>
      <c r="F22" s="284"/>
      <c r="G22" s="285"/>
    </row>
    <row r="23" spans="1:7" ht="15" customHeight="1" x14ac:dyDescent="0.2">
      <c r="A23" s="58">
        <v>16</v>
      </c>
      <c r="B23" s="213"/>
      <c r="C23" s="213"/>
      <c r="D23" s="213"/>
      <c r="E23" s="214"/>
      <c r="F23" s="284"/>
      <c r="G23" s="285"/>
    </row>
    <row r="24" spans="1:7" ht="15" customHeight="1" x14ac:dyDescent="0.2">
      <c r="A24" s="58">
        <v>17</v>
      </c>
      <c r="B24" s="213"/>
      <c r="C24" s="213"/>
      <c r="D24" s="213"/>
      <c r="E24" s="214"/>
      <c r="F24" s="284"/>
      <c r="G24" s="285"/>
    </row>
    <row r="25" spans="1:7" ht="15" customHeight="1" x14ac:dyDescent="0.2">
      <c r="A25" s="58">
        <v>18</v>
      </c>
      <c r="B25" s="213"/>
      <c r="C25" s="213"/>
      <c r="D25" s="213"/>
      <c r="E25" s="214"/>
      <c r="F25" s="284"/>
      <c r="G25" s="285"/>
    </row>
    <row r="26" spans="1:7" ht="15" customHeight="1" x14ac:dyDescent="0.2">
      <c r="A26" s="58">
        <v>19</v>
      </c>
      <c r="B26" s="213"/>
      <c r="C26" s="213"/>
      <c r="D26" s="213"/>
      <c r="E26" s="214"/>
      <c r="F26" s="284"/>
      <c r="G26" s="285"/>
    </row>
    <row r="27" spans="1:7" ht="15" customHeight="1" x14ac:dyDescent="0.2">
      <c r="A27" s="58">
        <v>20</v>
      </c>
      <c r="B27" s="213"/>
      <c r="C27" s="213"/>
      <c r="D27" s="213"/>
      <c r="E27" s="214"/>
      <c r="F27" s="284"/>
      <c r="G27" s="285"/>
    </row>
    <row r="28" spans="1:7" ht="15" customHeight="1" x14ac:dyDescent="0.2">
      <c r="A28" s="58">
        <v>21</v>
      </c>
      <c r="B28" s="213"/>
      <c r="C28" s="213"/>
      <c r="D28" s="213"/>
      <c r="E28" s="214"/>
      <c r="F28" s="284"/>
      <c r="G28" s="285"/>
    </row>
    <row r="29" spans="1:7" ht="15" customHeight="1" x14ac:dyDescent="0.2">
      <c r="A29" s="58">
        <v>22</v>
      </c>
      <c r="B29" s="213"/>
      <c r="C29" s="213"/>
      <c r="D29" s="213"/>
      <c r="E29" s="214"/>
      <c r="F29" s="284"/>
      <c r="G29" s="285"/>
    </row>
    <row r="30" spans="1:7" ht="15" customHeight="1" x14ac:dyDescent="0.2">
      <c r="A30" s="58">
        <v>23</v>
      </c>
      <c r="B30" s="213"/>
      <c r="C30" s="213"/>
      <c r="D30" s="213"/>
      <c r="E30" s="214"/>
      <c r="F30" s="284"/>
      <c r="G30" s="285"/>
    </row>
    <row r="31" spans="1:7" ht="15" customHeight="1" x14ac:dyDescent="0.2">
      <c r="A31" s="58">
        <v>24</v>
      </c>
      <c r="B31" s="213"/>
      <c r="C31" s="213"/>
      <c r="D31" s="213"/>
      <c r="E31" s="214"/>
      <c r="F31" s="284"/>
      <c r="G31" s="285"/>
    </row>
    <row r="32" spans="1:7" s="5" customFormat="1" ht="15" customHeight="1" x14ac:dyDescent="0.2">
      <c r="A32" s="58">
        <v>25</v>
      </c>
      <c r="B32" s="266"/>
      <c r="C32" s="266"/>
      <c r="D32" s="266"/>
      <c r="E32" s="291"/>
      <c r="F32" s="300"/>
      <c r="G32" s="301"/>
    </row>
    <row r="33" spans="1:11" s="5" customFormat="1" ht="15" customHeight="1" x14ac:dyDescent="0.25">
      <c r="A33" s="292" t="s">
        <v>138</v>
      </c>
      <c r="B33" s="293"/>
      <c r="C33" s="293"/>
      <c r="D33" s="293"/>
      <c r="E33" s="294"/>
      <c r="F33" s="298">
        <f>SUM(F8:G32)</f>
        <v>29304162</v>
      </c>
      <c r="G33" s="299"/>
    </row>
    <row r="34" spans="1:11" s="5" customFormat="1" ht="15" customHeight="1" x14ac:dyDescent="0.25">
      <c r="A34" s="288" t="s">
        <v>146</v>
      </c>
      <c r="B34" s="289"/>
      <c r="C34" s="289"/>
      <c r="D34" s="289"/>
      <c r="E34" s="290"/>
      <c r="F34" s="298">
        <f>1255571-0.2</f>
        <v>1255570.8</v>
      </c>
      <c r="G34" s="299"/>
    </row>
    <row r="35" spans="1:11" s="5" customFormat="1" ht="15" customHeight="1" thickBot="1" x14ac:dyDescent="0.3">
      <c r="A35" s="286" t="s">
        <v>26</v>
      </c>
      <c r="B35" s="287"/>
      <c r="C35" s="287"/>
      <c r="D35" s="287"/>
      <c r="E35" s="287"/>
      <c r="F35" s="304">
        <f>1962010-0.3</f>
        <v>1962009.7</v>
      </c>
      <c r="G35" s="305"/>
    </row>
    <row r="36" spans="1:11" ht="15" customHeight="1" thickBot="1" x14ac:dyDescent="0.3">
      <c r="A36" s="276" t="s">
        <v>27</v>
      </c>
      <c r="B36" s="277"/>
      <c r="C36" s="277"/>
      <c r="D36" s="277"/>
      <c r="E36" s="278"/>
      <c r="F36" s="302">
        <f>SUM(F33:G35)</f>
        <v>32521742.5</v>
      </c>
      <c r="G36" s="303"/>
      <c r="H36" s="27"/>
      <c r="I36" s="27"/>
    </row>
    <row r="37" spans="1:11" hidden="1" x14ac:dyDescent="0.2">
      <c r="H37" s="27"/>
      <c r="I37" s="27"/>
    </row>
    <row r="38" spans="1:11" hidden="1" x14ac:dyDescent="0.2">
      <c r="H38" s="27"/>
      <c r="I38" s="27"/>
    </row>
    <row r="40" spans="1:11" ht="14.25" hidden="1" x14ac:dyDescent="0.2">
      <c r="A40" s="32"/>
      <c r="B40" s="32"/>
      <c r="C40" s="32"/>
      <c r="D40" s="32"/>
      <c r="E40" s="32"/>
      <c r="F40" s="32"/>
      <c r="G40" s="32"/>
      <c r="H40" s="33"/>
      <c r="I40" s="33"/>
      <c r="J40" s="33"/>
      <c r="K40" s="31"/>
    </row>
    <row r="41" spans="1:11" ht="14.25" hidden="1" x14ac:dyDescent="0.2">
      <c r="A41" s="32"/>
      <c r="B41" s="32"/>
      <c r="C41" s="32"/>
      <c r="D41" s="32"/>
      <c r="E41" s="32"/>
      <c r="F41" s="32"/>
      <c r="G41" s="32"/>
      <c r="H41" s="33"/>
      <c r="I41" s="33"/>
      <c r="J41" s="33"/>
      <c r="K41" s="31"/>
    </row>
    <row r="42" spans="1:11" hidden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11:G11"/>
    <mergeCell ref="F17:G17"/>
    <mergeCell ref="F5:G5"/>
    <mergeCell ref="F8:G8"/>
    <mergeCell ref="F9:G9"/>
    <mergeCell ref="F12:G12"/>
    <mergeCell ref="F13:G13"/>
    <mergeCell ref="F14:G14"/>
    <mergeCell ref="F15:G15"/>
    <mergeCell ref="F16:G16"/>
    <mergeCell ref="F33:G33"/>
    <mergeCell ref="F32:G32"/>
    <mergeCell ref="F31:G31"/>
    <mergeCell ref="F30:G30"/>
    <mergeCell ref="F29:G29"/>
    <mergeCell ref="F28:G28"/>
    <mergeCell ref="F18:G18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B14:E14"/>
    <mergeCell ref="B13:E13"/>
    <mergeCell ref="B12:E12"/>
    <mergeCell ref="B11:E11"/>
    <mergeCell ref="B17:E17"/>
    <mergeCell ref="B16:E16"/>
    <mergeCell ref="B15:E15"/>
    <mergeCell ref="B32:E32"/>
    <mergeCell ref="B30:E30"/>
    <mergeCell ref="B31:E31"/>
    <mergeCell ref="F25:G25"/>
    <mergeCell ref="B25:E25"/>
    <mergeCell ref="A36:E36"/>
    <mergeCell ref="A35:E35"/>
    <mergeCell ref="A34:E34"/>
    <mergeCell ref="A33:E33"/>
    <mergeCell ref="F27:G27"/>
    <mergeCell ref="F36:G36"/>
    <mergeCell ref="F35:G35"/>
    <mergeCell ref="F34:G34"/>
    <mergeCell ref="B29:E29"/>
    <mergeCell ref="B28:E28"/>
    <mergeCell ref="B27:E27"/>
    <mergeCell ref="F26:G26"/>
    <mergeCell ref="B26:E26"/>
    <mergeCell ref="B23:E23"/>
    <mergeCell ref="F20:G20"/>
    <mergeCell ref="B20:E20"/>
    <mergeCell ref="F24:G24"/>
    <mergeCell ref="B24:E24"/>
    <mergeCell ref="F23:G23"/>
    <mergeCell ref="F22:G22"/>
    <mergeCell ref="B22:E22"/>
    <mergeCell ref="F19:G19"/>
    <mergeCell ref="B19:E19"/>
    <mergeCell ref="B18:E18"/>
    <mergeCell ref="F21:G21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1" width="8.7109375" customWidth="1"/>
    <col min="2" max="4" width="3.5703125" customWidth="1"/>
    <col min="5" max="5" width="35.7109375" customWidth="1"/>
    <col min="6" max="6" width="7" customWidth="1"/>
    <col min="7" max="7" width="26.85546875" customWidth="1"/>
    <col min="8" max="16384" width="9.140625" hidden="1"/>
  </cols>
  <sheetData>
    <row r="1" spans="1:7" ht="54.75" customHeight="1" x14ac:dyDescent="0.25">
      <c r="A1" s="312" t="s">
        <v>240</v>
      </c>
      <c r="B1" s="312"/>
      <c r="C1" s="312"/>
      <c r="D1" s="312"/>
      <c r="E1" s="312"/>
      <c r="F1" s="312"/>
      <c r="G1" s="312"/>
    </row>
    <row r="2" spans="1:7" ht="22.5" customHeight="1" x14ac:dyDescent="0.25">
      <c r="A2" s="257" t="s">
        <v>8</v>
      </c>
      <c r="B2" s="257"/>
      <c r="C2" s="89"/>
      <c r="D2" s="266" t="str">
        <f>'CSS '!D2:E2</f>
        <v>Los Angeles</v>
      </c>
      <c r="E2" s="266"/>
      <c r="F2" s="74" t="s">
        <v>9</v>
      </c>
      <c r="G2" s="49">
        <f>'CSS '!G2</f>
        <v>42479</v>
      </c>
    </row>
    <row r="3" spans="1:7" ht="15" customHeight="1" x14ac:dyDescent="0.25">
      <c r="A3" s="54"/>
      <c r="B3" s="54"/>
      <c r="C3" s="54"/>
      <c r="D3" s="259"/>
      <c r="E3" s="259"/>
      <c r="F3" s="77"/>
      <c r="G3" s="55"/>
    </row>
    <row r="4" spans="1:7" ht="15" customHeight="1" x14ac:dyDescent="0.2">
      <c r="A4" s="55"/>
      <c r="B4" s="55"/>
      <c r="C4" s="55"/>
      <c r="D4" s="55"/>
      <c r="E4" s="55"/>
      <c r="F4" s="55"/>
      <c r="G4" s="55"/>
    </row>
    <row r="5" spans="1:7" s="3" customFormat="1" ht="23.25" customHeight="1" x14ac:dyDescent="0.25">
      <c r="A5" s="234" t="s">
        <v>58</v>
      </c>
      <c r="B5" s="235"/>
      <c r="C5" s="235"/>
      <c r="D5" s="235"/>
      <c r="E5" s="236"/>
      <c r="F5" s="267" t="s">
        <v>0</v>
      </c>
      <c r="G5" s="268"/>
    </row>
    <row r="6" spans="1:7" s="1" customFormat="1" ht="42" customHeight="1" x14ac:dyDescent="0.2">
      <c r="A6" s="240"/>
      <c r="B6" s="241"/>
      <c r="C6" s="241"/>
      <c r="D6" s="241"/>
      <c r="E6" s="242"/>
      <c r="F6" s="247" t="s">
        <v>59</v>
      </c>
      <c r="G6" s="248"/>
    </row>
    <row r="7" spans="1:7" ht="15" customHeight="1" x14ac:dyDescent="0.25">
      <c r="A7" s="80" t="s">
        <v>39</v>
      </c>
      <c r="B7" s="81"/>
      <c r="C7" s="81"/>
      <c r="D7" s="81"/>
      <c r="E7" s="82"/>
      <c r="F7" s="308"/>
      <c r="G7" s="309"/>
    </row>
    <row r="8" spans="1:7" ht="15" customHeight="1" x14ac:dyDescent="0.2">
      <c r="A8" s="79"/>
      <c r="B8" s="83" t="s">
        <v>10</v>
      </c>
      <c r="C8" s="83"/>
      <c r="D8" s="83"/>
      <c r="E8" s="84"/>
      <c r="F8" s="310"/>
      <c r="G8" s="311"/>
    </row>
    <row r="9" spans="1:7" ht="15" customHeight="1" x14ac:dyDescent="0.2">
      <c r="A9" s="79"/>
      <c r="B9" s="83" t="s">
        <v>11</v>
      </c>
      <c r="C9" s="83"/>
      <c r="D9" s="83"/>
      <c r="E9" s="84"/>
      <c r="F9" s="310">
        <v>619326</v>
      </c>
      <c r="G9" s="311"/>
    </row>
    <row r="10" spans="1:7" ht="15" customHeight="1" x14ac:dyDescent="0.2">
      <c r="A10" s="79"/>
      <c r="B10" s="83" t="s">
        <v>12</v>
      </c>
      <c r="C10" s="83"/>
      <c r="D10" s="83"/>
      <c r="E10" s="84"/>
      <c r="F10" s="310">
        <f>1213194</f>
        <v>1213194</v>
      </c>
      <c r="G10" s="311"/>
    </row>
    <row r="11" spans="1:7" ht="15" customHeight="1" x14ac:dyDescent="0.2">
      <c r="A11" s="79"/>
      <c r="B11" s="83" t="s">
        <v>13</v>
      </c>
      <c r="C11" s="83"/>
      <c r="D11" s="83"/>
      <c r="E11" s="84"/>
      <c r="F11" s="310">
        <v>1162</v>
      </c>
      <c r="G11" s="311"/>
    </row>
    <row r="12" spans="1:7" ht="15" customHeight="1" x14ac:dyDescent="0.2">
      <c r="A12" s="79"/>
      <c r="B12" s="83" t="s">
        <v>14</v>
      </c>
      <c r="C12" s="83"/>
      <c r="D12" s="83"/>
      <c r="E12" s="84"/>
      <c r="F12" s="310">
        <f>2285526</f>
        <v>2285526</v>
      </c>
      <c r="G12" s="311"/>
    </row>
    <row r="13" spans="1:7" ht="15" customHeight="1" x14ac:dyDescent="0.25">
      <c r="A13" s="317" t="s">
        <v>63</v>
      </c>
      <c r="B13" s="249"/>
      <c r="C13" s="249"/>
      <c r="D13" s="249"/>
      <c r="E13" s="249"/>
      <c r="F13" s="306">
        <f>SUM(F8:G12)</f>
        <v>4119208</v>
      </c>
      <c r="G13" s="307"/>
    </row>
    <row r="14" spans="1:7" s="5" customFormat="1" ht="15" customHeight="1" thickBot="1" x14ac:dyDescent="0.3">
      <c r="A14" s="215" t="s">
        <v>24</v>
      </c>
      <c r="B14" s="216"/>
      <c r="C14" s="216"/>
      <c r="D14" s="216"/>
      <c r="E14" s="216"/>
      <c r="F14" s="315">
        <f>451423+0.2</f>
        <v>451423.2</v>
      </c>
      <c r="G14" s="316"/>
    </row>
    <row r="15" spans="1:7" ht="15" customHeight="1" x14ac:dyDescent="0.25">
      <c r="A15" s="86" t="s">
        <v>25</v>
      </c>
      <c r="B15" s="87"/>
      <c r="C15" s="87"/>
      <c r="D15" s="87"/>
      <c r="E15" s="88"/>
      <c r="F15" s="313">
        <f>SUM(F13:G14)</f>
        <v>4570631.2</v>
      </c>
      <c r="G15" s="314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="90" zoomScaleNormal="90" workbookViewId="0">
      <selection sqref="A1:G1"/>
    </sheetView>
  </sheetViews>
  <sheetFormatPr defaultColWidth="0" defaultRowHeight="15" zeroHeight="1" x14ac:dyDescent="0.2"/>
  <cols>
    <col min="1" max="1" width="5" style="57" customWidth="1"/>
    <col min="2" max="2" width="4.85546875" style="57" customWidth="1"/>
    <col min="3" max="4" width="3.5703125" style="57" customWidth="1"/>
    <col min="5" max="5" width="37.7109375" style="57" customWidth="1"/>
    <col min="6" max="6" width="8.42578125" style="57" customWidth="1"/>
    <col min="7" max="7" width="27.42578125" style="57" customWidth="1"/>
    <col min="8" max="16384" width="9.140625" hidden="1"/>
  </cols>
  <sheetData>
    <row r="1" spans="1:7" ht="65.25" customHeight="1" x14ac:dyDescent="0.2">
      <c r="A1" s="295" t="s">
        <v>242</v>
      </c>
      <c r="B1" s="295"/>
      <c r="C1" s="295"/>
      <c r="D1" s="295"/>
      <c r="E1" s="295"/>
      <c r="F1" s="295"/>
      <c r="G1" s="295"/>
    </row>
    <row r="2" spans="1:7" ht="26.25" customHeight="1" x14ac:dyDescent="0.25">
      <c r="A2" s="257" t="s">
        <v>8</v>
      </c>
      <c r="B2" s="257"/>
      <c r="C2" s="89"/>
      <c r="D2" s="266" t="str">
        <f>'CSS '!D2:E2</f>
        <v>Los Angeles</v>
      </c>
      <c r="E2" s="266"/>
      <c r="F2" s="74" t="s">
        <v>9</v>
      </c>
      <c r="G2" s="75">
        <f>'CSS '!G2</f>
        <v>42479</v>
      </c>
    </row>
    <row r="3" spans="1:7" ht="15" customHeight="1" x14ac:dyDescent="0.25">
      <c r="A3" s="54"/>
      <c r="B3" s="54"/>
      <c r="C3" s="54"/>
      <c r="D3" s="259"/>
      <c r="E3" s="259"/>
      <c r="F3" s="77"/>
      <c r="G3" s="55"/>
    </row>
    <row r="4" spans="1:7" ht="15" customHeight="1" x14ac:dyDescent="0.2">
      <c r="A4" s="55"/>
      <c r="B4" s="55"/>
      <c r="C4" s="55"/>
      <c r="D4" s="55"/>
      <c r="E4" s="55"/>
      <c r="F4" s="55"/>
      <c r="G4" s="55"/>
    </row>
    <row r="5" spans="1:7" s="3" customFormat="1" ht="20.25" customHeight="1" x14ac:dyDescent="0.25">
      <c r="A5" s="234" t="s">
        <v>71</v>
      </c>
      <c r="B5" s="235"/>
      <c r="C5" s="235"/>
      <c r="D5" s="235"/>
      <c r="E5" s="236"/>
      <c r="F5" s="267" t="s">
        <v>0</v>
      </c>
      <c r="G5" s="268"/>
    </row>
    <row r="6" spans="1:7" s="1" customFormat="1" ht="42" customHeight="1" x14ac:dyDescent="0.2">
      <c r="A6" s="240"/>
      <c r="B6" s="241"/>
      <c r="C6" s="241"/>
      <c r="D6" s="241"/>
      <c r="E6" s="242"/>
      <c r="F6" s="247" t="s">
        <v>60</v>
      </c>
      <c r="G6" s="248"/>
    </row>
    <row r="7" spans="1:7" ht="15" customHeight="1" x14ac:dyDescent="0.25">
      <c r="A7" s="208" t="s">
        <v>35</v>
      </c>
      <c r="B7" s="249"/>
      <c r="C7" s="249"/>
      <c r="D7" s="249"/>
      <c r="E7" s="250"/>
      <c r="F7" s="322"/>
      <c r="G7" s="323"/>
    </row>
    <row r="8" spans="1:7" ht="15" customHeight="1" x14ac:dyDescent="0.2">
      <c r="A8" s="58">
        <v>1</v>
      </c>
      <c r="B8" s="100" t="s">
        <v>154</v>
      </c>
      <c r="C8" s="100"/>
      <c r="D8" s="100"/>
      <c r="E8" s="100"/>
      <c r="F8" s="315">
        <v>208456</v>
      </c>
      <c r="G8" s="316"/>
    </row>
    <row r="9" spans="1:7" ht="15" customHeight="1" x14ac:dyDescent="0.2">
      <c r="A9" s="58">
        <v>2</v>
      </c>
      <c r="B9" s="57" t="s">
        <v>155</v>
      </c>
      <c r="F9" s="315">
        <v>3962269</v>
      </c>
      <c r="G9" s="316"/>
    </row>
    <row r="10" spans="1:7" ht="15" customHeight="1" x14ac:dyDescent="0.2">
      <c r="A10" s="58">
        <v>3</v>
      </c>
      <c r="B10" s="100" t="s">
        <v>156</v>
      </c>
      <c r="C10" s="100"/>
      <c r="D10" s="100"/>
      <c r="E10" s="100"/>
      <c r="F10" s="315">
        <v>1042657</v>
      </c>
      <c r="G10" s="316"/>
    </row>
    <row r="11" spans="1:7" ht="15" customHeight="1" x14ac:dyDescent="0.2">
      <c r="A11" s="58">
        <v>4</v>
      </c>
      <c r="B11" s="213"/>
      <c r="C11" s="230"/>
      <c r="D11" s="230"/>
      <c r="E11" s="231"/>
      <c r="F11" s="315"/>
      <c r="G11" s="316"/>
    </row>
    <row r="12" spans="1:7" ht="15" customHeight="1" x14ac:dyDescent="0.2">
      <c r="A12" s="58">
        <v>5</v>
      </c>
      <c r="B12" s="213"/>
      <c r="C12" s="230"/>
      <c r="D12" s="230"/>
      <c r="E12" s="231"/>
      <c r="F12" s="315"/>
      <c r="G12" s="316"/>
    </row>
    <row r="13" spans="1:7" ht="15" customHeight="1" x14ac:dyDescent="0.2">
      <c r="A13" s="58">
        <v>6</v>
      </c>
      <c r="B13" s="213"/>
      <c r="C13" s="230"/>
      <c r="D13" s="230"/>
      <c r="E13" s="231"/>
      <c r="F13" s="315"/>
      <c r="G13" s="316"/>
    </row>
    <row r="14" spans="1:7" ht="15" customHeight="1" x14ac:dyDescent="0.2">
      <c r="A14" s="58">
        <v>7</v>
      </c>
      <c r="B14" s="213"/>
      <c r="C14" s="230"/>
      <c r="D14" s="230"/>
      <c r="E14" s="231"/>
      <c r="F14" s="315"/>
      <c r="G14" s="316"/>
    </row>
    <row r="15" spans="1:7" ht="15" customHeight="1" x14ac:dyDescent="0.2">
      <c r="A15" s="58">
        <v>8</v>
      </c>
      <c r="B15" s="213"/>
      <c r="C15" s="230"/>
      <c r="D15" s="230"/>
      <c r="E15" s="231"/>
      <c r="F15" s="315"/>
      <c r="G15" s="316"/>
    </row>
    <row r="16" spans="1:7" ht="15" customHeight="1" x14ac:dyDescent="0.2">
      <c r="A16" s="58">
        <v>9</v>
      </c>
      <c r="B16" s="213"/>
      <c r="C16" s="230"/>
      <c r="D16" s="230"/>
      <c r="E16" s="231"/>
      <c r="F16" s="315"/>
      <c r="G16" s="316"/>
    </row>
    <row r="17" spans="1:7" ht="15" customHeight="1" x14ac:dyDescent="0.2">
      <c r="A17" s="58">
        <v>10</v>
      </c>
      <c r="B17" s="213"/>
      <c r="C17" s="230"/>
      <c r="D17" s="230"/>
      <c r="E17" s="231"/>
      <c r="F17" s="315"/>
      <c r="G17" s="316"/>
    </row>
    <row r="18" spans="1:7" ht="15" customHeight="1" x14ac:dyDescent="0.2">
      <c r="A18" s="58">
        <v>11</v>
      </c>
      <c r="B18" s="213"/>
      <c r="C18" s="230"/>
      <c r="D18" s="230"/>
      <c r="E18" s="231"/>
      <c r="F18" s="315"/>
      <c r="G18" s="316"/>
    </row>
    <row r="19" spans="1:7" ht="15" customHeight="1" x14ac:dyDescent="0.2">
      <c r="A19" s="58">
        <v>12</v>
      </c>
      <c r="B19" s="213"/>
      <c r="C19" s="230"/>
      <c r="D19" s="230"/>
      <c r="E19" s="231"/>
      <c r="F19" s="315"/>
      <c r="G19" s="316"/>
    </row>
    <row r="20" spans="1:7" ht="15" customHeight="1" x14ac:dyDescent="0.25">
      <c r="A20" s="317" t="s">
        <v>64</v>
      </c>
      <c r="B20" s="249"/>
      <c r="C20" s="249"/>
      <c r="D20" s="249"/>
      <c r="E20" s="249"/>
      <c r="F20" s="318">
        <f>SUM(F8:G19)</f>
        <v>5213382</v>
      </c>
      <c r="G20" s="319"/>
    </row>
    <row r="21" spans="1:7" ht="15" customHeight="1" x14ac:dyDescent="0.25">
      <c r="A21" s="286" t="s">
        <v>32</v>
      </c>
      <c r="B21" s="287"/>
      <c r="C21" s="287"/>
      <c r="D21" s="287"/>
      <c r="E21" s="287"/>
      <c r="F21" s="315"/>
      <c r="G21" s="316"/>
    </row>
    <row r="22" spans="1:7" ht="15" customHeight="1" x14ac:dyDescent="0.25">
      <c r="A22" s="324" t="s">
        <v>33</v>
      </c>
      <c r="B22" s="258"/>
      <c r="C22" s="258"/>
      <c r="D22" s="258"/>
      <c r="E22" s="258"/>
      <c r="F22" s="325">
        <f>SUM(F20:G21)</f>
        <v>5213382</v>
      </c>
      <c r="G22" s="326"/>
    </row>
    <row r="23" spans="1:7" ht="15" customHeight="1" x14ac:dyDescent="0.25">
      <c r="A23" s="101" t="s">
        <v>29</v>
      </c>
      <c r="B23" s="83"/>
      <c r="C23" s="83"/>
      <c r="D23" s="83"/>
      <c r="E23" s="84"/>
      <c r="F23" s="327"/>
      <c r="G23" s="328"/>
    </row>
    <row r="24" spans="1:7" ht="15" customHeight="1" x14ac:dyDescent="0.2">
      <c r="A24" s="58">
        <v>1</v>
      </c>
      <c r="B24" s="102" t="s">
        <v>157</v>
      </c>
      <c r="C24" s="102"/>
      <c r="D24" s="102"/>
      <c r="E24" s="102"/>
      <c r="F24" s="320">
        <v>60913</v>
      </c>
      <c r="G24" s="321"/>
    </row>
    <row r="25" spans="1:7" ht="15" customHeight="1" x14ac:dyDescent="0.2">
      <c r="A25" s="58">
        <v>2</v>
      </c>
      <c r="B25" s="102" t="s">
        <v>158</v>
      </c>
      <c r="C25" s="102"/>
      <c r="D25" s="102"/>
      <c r="E25" s="102"/>
      <c r="F25" s="320">
        <f>13835053+0.2</f>
        <v>13835053.199999999</v>
      </c>
      <c r="G25" s="321"/>
    </row>
    <row r="26" spans="1:7" ht="15" customHeight="1" x14ac:dyDescent="0.2">
      <c r="A26" s="58">
        <v>3</v>
      </c>
      <c r="B26" s="102" t="s">
        <v>159</v>
      </c>
      <c r="C26" s="102"/>
      <c r="D26" s="102"/>
      <c r="E26" s="102"/>
      <c r="F26" s="320">
        <v>80372</v>
      </c>
      <c r="G26" s="321"/>
    </row>
    <row r="27" spans="1:7" ht="15" customHeight="1" x14ac:dyDescent="0.2">
      <c r="A27" s="58">
        <v>4</v>
      </c>
      <c r="B27" s="102" t="s">
        <v>160</v>
      </c>
      <c r="C27" s="102"/>
      <c r="D27" s="102"/>
      <c r="E27" s="102"/>
      <c r="F27" s="320">
        <v>5416612</v>
      </c>
      <c r="G27" s="321"/>
    </row>
    <row r="28" spans="1:7" ht="15" customHeight="1" x14ac:dyDescent="0.2">
      <c r="A28" s="58">
        <v>5</v>
      </c>
      <c r="B28" s="196"/>
      <c r="C28" s="253"/>
      <c r="D28" s="253"/>
      <c r="E28" s="254"/>
      <c r="F28" s="320"/>
      <c r="G28" s="321"/>
    </row>
    <row r="29" spans="1:7" ht="15" customHeight="1" x14ac:dyDescent="0.2">
      <c r="A29" s="58">
        <v>6</v>
      </c>
      <c r="B29" s="196"/>
      <c r="C29" s="253"/>
      <c r="D29" s="253"/>
      <c r="E29" s="254"/>
      <c r="F29" s="320"/>
      <c r="G29" s="321"/>
    </row>
    <row r="30" spans="1:7" ht="15" customHeight="1" x14ac:dyDescent="0.2">
      <c r="A30" s="58">
        <v>7</v>
      </c>
      <c r="B30" s="213"/>
      <c r="C30" s="230"/>
      <c r="D30" s="230"/>
      <c r="E30" s="231"/>
      <c r="F30" s="320"/>
      <c r="G30" s="321"/>
    </row>
    <row r="31" spans="1:7" ht="15" customHeight="1" x14ac:dyDescent="0.2">
      <c r="A31" s="58">
        <v>8</v>
      </c>
      <c r="B31" s="213"/>
      <c r="C31" s="230"/>
      <c r="D31" s="230"/>
      <c r="E31" s="231"/>
      <c r="F31" s="320"/>
      <c r="G31" s="321"/>
    </row>
    <row r="32" spans="1:7" ht="15" customHeight="1" x14ac:dyDescent="0.2">
      <c r="A32" s="58">
        <v>9</v>
      </c>
      <c r="B32" s="213"/>
      <c r="C32" s="230"/>
      <c r="D32" s="230"/>
      <c r="E32" s="231"/>
      <c r="F32" s="320"/>
      <c r="G32" s="321"/>
    </row>
    <row r="33" spans="1:7" ht="15" customHeight="1" x14ac:dyDescent="0.2">
      <c r="A33" s="58">
        <v>10</v>
      </c>
      <c r="B33" s="213"/>
      <c r="C33" s="230"/>
      <c r="D33" s="230"/>
      <c r="E33" s="231"/>
      <c r="F33" s="320"/>
      <c r="G33" s="321"/>
    </row>
    <row r="34" spans="1:7" ht="15" customHeight="1" x14ac:dyDescent="0.2">
      <c r="A34" s="58">
        <v>11</v>
      </c>
      <c r="B34" s="213"/>
      <c r="C34" s="230"/>
      <c r="D34" s="230"/>
      <c r="E34" s="231"/>
      <c r="F34" s="320"/>
      <c r="G34" s="321"/>
    </row>
    <row r="35" spans="1:7" s="5" customFormat="1" ht="15" customHeight="1" x14ac:dyDescent="0.2">
      <c r="A35" s="58">
        <v>12</v>
      </c>
      <c r="B35" s="213"/>
      <c r="C35" s="230"/>
      <c r="D35" s="230"/>
      <c r="E35" s="231"/>
      <c r="F35" s="320"/>
      <c r="G35" s="321"/>
    </row>
    <row r="36" spans="1:7" s="5" customFormat="1" ht="15" customHeight="1" x14ac:dyDescent="0.2">
      <c r="A36" s="58">
        <v>13</v>
      </c>
      <c r="B36" s="213"/>
      <c r="C36" s="213"/>
      <c r="D36" s="213"/>
      <c r="E36" s="214"/>
      <c r="F36" s="320"/>
      <c r="G36" s="321"/>
    </row>
    <row r="37" spans="1:7" s="5" customFormat="1" ht="15" customHeight="1" x14ac:dyDescent="0.25">
      <c r="A37" s="208" t="s">
        <v>65</v>
      </c>
      <c r="B37" s="209"/>
      <c r="C37" s="209"/>
      <c r="D37" s="209"/>
      <c r="E37" s="210"/>
      <c r="F37" s="318">
        <f>SUM(F24:G36)</f>
        <v>19392950.199999999</v>
      </c>
      <c r="G37" s="319"/>
    </row>
    <row r="38" spans="1:7" ht="15" customHeight="1" x14ac:dyDescent="0.25">
      <c r="A38" s="215" t="s">
        <v>36</v>
      </c>
      <c r="B38" s="216"/>
      <c r="C38" s="216"/>
      <c r="D38" s="216"/>
      <c r="E38" s="217"/>
      <c r="F38" s="315">
        <f>2256818+0.2</f>
        <v>2256818.2000000002</v>
      </c>
      <c r="G38" s="316"/>
    </row>
    <row r="39" spans="1:7" ht="15" customHeight="1" thickBot="1" x14ac:dyDescent="0.3">
      <c r="A39" s="215" t="s">
        <v>37</v>
      </c>
      <c r="B39" s="216"/>
      <c r="C39" s="216"/>
      <c r="D39" s="216"/>
      <c r="E39" s="217"/>
      <c r="F39" s="315">
        <f>F37+F38</f>
        <v>21649768.399999999</v>
      </c>
      <c r="G39" s="316"/>
    </row>
    <row r="40" spans="1:7" ht="16.5" thickBot="1" x14ac:dyDescent="0.3">
      <c r="A40" s="329" t="s">
        <v>28</v>
      </c>
      <c r="B40" s="330"/>
      <c r="C40" s="330"/>
      <c r="D40" s="330"/>
      <c r="E40" s="331"/>
      <c r="F40" s="332">
        <f>F22+F39</f>
        <v>26863150.399999999</v>
      </c>
      <c r="G40" s="333"/>
    </row>
  </sheetData>
  <sheetProtection sheet="1" objects="1" scenarios="1" selectLockedCells="1"/>
  <mergeCells count="67">
    <mergeCell ref="F29:G29"/>
    <mergeCell ref="F30:G30"/>
    <mergeCell ref="F31:G31"/>
    <mergeCell ref="F32:G32"/>
    <mergeCell ref="F33:G33"/>
    <mergeCell ref="A40:E40"/>
    <mergeCell ref="F40:G40"/>
    <mergeCell ref="F39:G39"/>
    <mergeCell ref="F34:G34"/>
    <mergeCell ref="F35:G35"/>
    <mergeCell ref="F37:G37"/>
    <mergeCell ref="F38:G38"/>
    <mergeCell ref="A1:G1"/>
    <mergeCell ref="A39:E39"/>
    <mergeCell ref="B34:E34"/>
    <mergeCell ref="B35:E35"/>
    <mergeCell ref="A38:E38"/>
    <mergeCell ref="B32:E32"/>
    <mergeCell ref="B33:E33"/>
    <mergeCell ref="F26:G26"/>
    <mergeCell ref="F23:G23"/>
    <mergeCell ref="F13:G13"/>
    <mergeCell ref="F14:G14"/>
    <mergeCell ref="F15:G15"/>
    <mergeCell ref="F16:G16"/>
    <mergeCell ref="F17:G17"/>
    <mergeCell ref="F18:G18"/>
    <mergeCell ref="F19:G19"/>
    <mergeCell ref="A37:E37"/>
    <mergeCell ref="B36:E36"/>
    <mergeCell ref="F8:G8"/>
    <mergeCell ref="F9:G9"/>
    <mergeCell ref="F10:G10"/>
    <mergeCell ref="F11:G11"/>
    <mergeCell ref="F25:G25"/>
    <mergeCell ref="B31:E31"/>
    <mergeCell ref="A22:E22"/>
    <mergeCell ref="B12:E12"/>
    <mergeCell ref="F22:G22"/>
    <mergeCell ref="B11:E11"/>
    <mergeCell ref="F24:G24"/>
    <mergeCell ref="F21:G21"/>
    <mergeCell ref="F27:G27"/>
    <mergeCell ref="F36:G36"/>
    <mergeCell ref="F28:G28"/>
    <mergeCell ref="A7:E7"/>
    <mergeCell ref="D2:E2"/>
    <mergeCell ref="D3:E3"/>
    <mergeCell ref="A5:E6"/>
    <mergeCell ref="F5:G5"/>
    <mergeCell ref="A2:B2"/>
    <mergeCell ref="F6:G6"/>
    <mergeCell ref="F7:G7"/>
    <mergeCell ref="A21:E21"/>
    <mergeCell ref="B30:E30"/>
    <mergeCell ref="B28:E28"/>
    <mergeCell ref="B16:E16"/>
    <mergeCell ref="B14:E14"/>
    <mergeCell ref="B15:E15"/>
    <mergeCell ref="B29:E29"/>
    <mergeCell ref="B18:E18"/>
    <mergeCell ref="B17:E17"/>
    <mergeCell ref="F12:G12"/>
    <mergeCell ref="A20:E20"/>
    <mergeCell ref="F20:G20"/>
    <mergeCell ref="B19:E19"/>
    <mergeCell ref="B13:E13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activeCell="A11" sqref="A11:E11"/>
    </sheetView>
  </sheetViews>
  <sheetFormatPr defaultColWidth="0" defaultRowHeight="12.75" zeroHeight="1" x14ac:dyDescent="0.2"/>
  <cols>
    <col min="1" max="1" width="5.42578125" customWidth="1"/>
    <col min="2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8" customHeight="1" x14ac:dyDescent="0.25">
      <c r="A1" s="312" t="s">
        <v>144</v>
      </c>
      <c r="B1" s="312"/>
      <c r="C1" s="312"/>
      <c r="D1" s="312"/>
      <c r="E1" s="312"/>
      <c r="F1" s="312"/>
      <c r="G1" s="312"/>
    </row>
    <row r="2" spans="1:8" ht="18" customHeight="1" x14ac:dyDescent="0.25">
      <c r="A2" s="257" t="s">
        <v>8</v>
      </c>
      <c r="B2" s="257"/>
      <c r="C2" s="89"/>
      <c r="D2" s="266" t="str">
        <f>'CSS '!D2:E2</f>
        <v>Los Angeles</v>
      </c>
      <c r="E2" s="266"/>
      <c r="F2" s="74" t="s">
        <v>9</v>
      </c>
      <c r="G2" s="75">
        <f>'CSS '!G2</f>
        <v>42479</v>
      </c>
    </row>
    <row r="3" spans="1:8" ht="15" customHeight="1" x14ac:dyDescent="0.25">
      <c r="A3" s="54"/>
      <c r="B3" s="54"/>
      <c r="C3" s="54"/>
      <c r="D3" s="259"/>
      <c r="E3" s="259"/>
      <c r="F3" s="77"/>
      <c r="G3" s="55"/>
    </row>
    <row r="4" spans="1:8" ht="15" customHeight="1" x14ac:dyDescent="0.2">
      <c r="A4" s="55"/>
      <c r="B4" s="55"/>
      <c r="C4" s="55"/>
      <c r="D4" s="55"/>
      <c r="E4" s="55"/>
      <c r="F4" s="55"/>
      <c r="G4" s="55"/>
    </row>
    <row r="5" spans="1:8" s="3" customFormat="1" ht="12.75" customHeight="1" x14ac:dyDescent="0.25">
      <c r="A5" s="267"/>
      <c r="B5" s="334"/>
      <c r="C5" s="334"/>
      <c r="D5" s="334"/>
      <c r="E5" s="268"/>
      <c r="F5" s="267" t="s">
        <v>0</v>
      </c>
      <c r="G5" s="268"/>
    </row>
    <row r="6" spans="1:8" s="1" customFormat="1" ht="25.5" customHeight="1" x14ac:dyDescent="0.2">
      <c r="A6" s="335"/>
      <c r="B6" s="257"/>
      <c r="C6" s="257"/>
      <c r="D6" s="257"/>
      <c r="E6" s="336"/>
      <c r="F6" s="247" t="s">
        <v>68</v>
      </c>
      <c r="G6" s="248"/>
    </row>
    <row r="7" spans="1:8" ht="38.25" customHeight="1" x14ac:dyDescent="0.2">
      <c r="A7" s="338" t="s">
        <v>100</v>
      </c>
      <c r="B7" s="339"/>
      <c r="C7" s="339"/>
      <c r="D7" s="339"/>
      <c r="E7" s="340"/>
      <c r="F7" s="206">
        <f>943501.1</f>
        <v>943501.1</v>
      </c>
      <c r="G7" s="207"/>
    </row>
    <row r="8" spans="1:8" s="98" customFormat="1" ht="15" x14ac:dyDescent="0.2">
      <c r="A8" s="341"/>
      <c r="B8" s="342"/>
      <c r="C8" s="342"/>
      <c r="D8" s="342"/>
      <c r="E8" s="342"/>
      <c r="F8" s="342"/>
      <c r="G8" s="343"/>
    </row>
    <row r="9" spans="1:8" ht="23.25" customHeight="1" x14ac:dyDescent="0.2">
      <c r="A9" s="338" t="s">
        <v>31</v>
      </c>
      <c r="B9" s="344"/>
      <c r="C9" s="344"/>
      <c r="D9" s="344"/>
      <c r="E9" s="345"/>
      <c r="F9" s="206">
        <v>244052</v>
      </c>
      <c r="G9" s="207"/>
    </row>
    <row r="10" spans="1:8" s="98" customFormat="1" ht="15" x14ac:dyDescent="0.2">
      <c r="A10" s="346"/>
      <c r="B10" s="347"/>
      <c r="C10" s="347"/>
      <c r="D10" s="347"/>
      <c r="E10" s="347"/>
      <c r="F10" s="347"/>
      <c r="G10" s="348"/>
    </row>
    <row r="11" spans="1:8" ht="21" customHeight="1" x14ac:dyDescent="0.2">
      <c r="A11" s="338" t="s">
        <v>69</v>
      </c>
      <c r="B11" s="344"/>
      <c r="C11" s="344"/>
      <c r="D11" s="344"/>
      <c r="E11" s="345"/>
      <c r="F11" s="206"/>
      <c r="G11" s="207"/>
    </row>
    <row r="12" spans="1:8" hidden="1" x14ac:dyDescent="0.2">
      <c r="A12" s="337"/>
      <c r="B12" s="337"/>
      <c r="C12" s="337"/>
      <c r="D12" s="337"/>
      <c r="E12" s="337"/>
      <c r="F12" s="337"/>
      <c r="G12" s="337"/>
      <c r="H12" s="27"/>
    </row>
    <row r="13" spans="1:8" hidden="1" x14ac:dyDescent="0.2">
      <c r="A13" s="350"/>
      <c r="B13" s="350"/>
      <c r="C13" s="350"/>
      <c r="D13" s="350"/>
      <c r="E13" s="350"/>
      <c r="F13" s="351"/>
      <c r="G13" s="351"/>
    </row>
    <row r="14" spans="1:8" hidden="1" x14ac:dyDescent="0.2">
      <c r="A14" s="349"/>
      <c r="B14" s="349"/>
      <c r="C14" s="349"/>
      <c r="D14" s="349"/>
      <c r="E14" s="349"/>
      <c r="F14" s="349"/>
      <c r="G14" s="349"/>
    </row>
    <row r="15" spans="1:8" hidden="1" x14ac:dyDescent="0.2">
      <c r="A15" s="350"/>
      <c r="B15" s="350"/>
      <c r="C15" s="350"/>
      <c r="D15" s="350"/>
      <c r="E15" s="350"/>
      <c r="F15" s="351"/>
      <c r="G15" s="351"/>
    </row>
    <row r="16" spans="1:8" hidden="1" x14ac:dyDescent="0.2">
      <c r="A16" s="349"/>
      <c r="B16" s="349"/>
      <c r="C16" s="349"/>
      <c r="D16" s="349"/>
      <c r="E16" s="349"/>
      <c r="F16" s="349"/>
      <c r="G16" s="349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66" t="s">
        <v>110</v>
      </c>
      <c r="B1" s="366"/>
      <c r="C1" s="366"/>
      <c r="D1" s="366"/>
      <c r="E1" s="366"/>
      <c r="F1" s="366"/>
      <c r="G1" s="366"/>
    </row>
    <row r="2" spans="1:7" ht="20.100000000000001" customHeight="1" x14ac:dyDescent="0.2">
      <c r="A2" s="377" t="s">
        <v>8</v>
      </c>
      <c r="B2" s="377"/>
      <c r="C2" s="377"/>
      <c r="D2" s="378" t="str">
        <f>'CSS '!D2:E2</f>
        <v>Los Angeles</v>
      </c>
      <c r="E2" s="378"/>
      <c r="F2" s="24" t="s">
        <v>9</v>
      </c>
      <c r="G2" s="28">
        <f>'CSS '!G2</f>
        <v>42479</v>
      </c>
    </row>
    <row r="3" spans="1:7" ht="15" customHeight="1" x14ac:dyDescent="0.2">
      <c r="A3" s="25"/>
      <c r="B3" s="25"/>
      <c r="C3" s="25"/>
      <c r="D3" s="379"/>
      <c r="E3" s="379"/>
      <c r="F3" s="23"/>
    </row>
    <row r="4" spans="1:7" ht="15" customHeight="1" x14ac:dyDescent="0.2"/>
    <row r="5" spans="1:7" s="3" customFormat="1" ht="15" customHeight="1" x14ac:dyDescent="0.2">
      <c r="A5" s="380" t="s">
        <v>111</v>
      </c>
      <c r="B5" s="379"/>
      <c r="C5" s="379"/>
      <c r="D5" s="379"/>
      <c r="E5" s="381"/>
      <c r="F5" s="380" t="s">
        <v>0</v>
      </c>
      <c r="G5" s="381"/>
    </row>
    <row r="6" spans="1:7" s="1" customFormat="1" ht="42" customHeight="1" x14ac:dyDescent="0.2">
      <c r="A6" s="382"/>
      <c r="B6" s="377"/>
      <c r="C6" s="377"/>
      <c r="D6" s="377"/>
      <c r="E6" s="383"/>
      <c r="F6" s="384" t="s">
        <v>59</v>
      </c>
      <c r="G6" s="385"/>
    </row>
    <row r="7" spans="1:7" ht="15" customHeight="1" x14ac:dyDescent="0.2">
      <c r="A7" s="373" t="s">
        <v>117</v>
      </c>
      <c r="B7" s="374"/>
      <c r="C7" s="374"/>
      <c r="D7" s="374"/>
      <c r="E7" s="374"/>
      <c r="F7" s="375"/>
      <c r="G7" s="376"/>
    </row>
    <row r="8" spans="1:7" ht="15" customHeight="1" x14ac:dyDescent="0.2">
      <c r="A8" s="4">
        <v>1</v>
      </c>
      <c r="B8" s="356"/>
      <c r="C8" s="353"/>
      <c r="D8" s="353"/>
      <c r="E8" s="353"/>
      <c r="F8" s="354"/>
      <c r="G8" s="355"/>
    </row>
    <row r="9" spans="1:7" ht="15" customHeight="1" x14ac:dyDescent="0.2">
      <c r="A9" s="4">
        <v>2</v>
      </c>
      <c r="B9" s="356"/>
      <c r="C9" s="353"/>
      <c r="D9" s="353"/>
      <c r="E9" s="353"/>
      <c r="F9" s="354"/>
      <c r="G9" s="355"/>
    </row>
    <row r="10" spans="1:7" ht="15" customHeight="1" x14ac:dyDescent="0.2">
      <c r="A10" s="4">
        <v>3</v>
      </c>
      <c r="B10" s="356"/>
      <c r="C10" s="353"/>
      <c r="D10" s="353"/>
      <c r="E10" s="353"/>
      <c r="F10" s="354"/>
      <c r="G10" s="355"/>
    </row>
    <row r="11" spans="1:7" ht="15" customHeight="1" x14ac:dyDescent="0.2">
      <c r="A11" s="4">
        <v>4</v>
      </c>
      <c r="B11" s="356"/>
      <c r="C11" s="353"/>
      <c r="D11" s="353"/>
      <c r="E11" s="353"/>
      <c r="F11" s="354"/>
      <c r="G11" s="355"/>
    </row>
    <row r="12" spans="1:7" ht="15" customHeight="1" x14ac:dyDescent="0.2">
      <c r="A12" s="4">
        <v>5</v>
      </c>
      <c r="B12" s="356"/>
      <c r="C12" s="353"/>
      <c r="D12" s="353"/>
      <c r="E12" s="353"/>
      <c r="F12" s="354"/>
      <c r="G12" s="355"/>
    </row>
    <row r="13" spans="1:7" ht="15" customHeight="1" x14ac:dyDescent="0.2">
      <c r="A13" s="4">
        <v>6</v>
      </c>
      <c r="B13" s="356"/>
      <c r="C13" s="353"/>
      <c r="D13" s="353"/>
      <c r="E13" s="353"/>
      <c r="F13" s="354"/>
      <c r="G13" s="355"/>
    </row>
    <row r="14" spans="1:7" ht="15" customHeight="1" x14ac:dyDescent="0.2">
      <c r="A14" s="4">
        <v>7</v>
      </c>
      <c r="B14" s="356"/>
      <c r="C14" s="353"/>
      <c r="D14" s="353"/>
      <c r="E14" s="353"/>
      <c r="F14" s="354"/>
      <c r="G14" s="355"/>
    </row>
    <row r="15" spans="1:7" ht="15" customHeight="1" x14ac:dyDescent="0.2">
      <c r="A15" s="4">
        <v>8</v>
      </c>
      <c r="B15" s="356"/>
      <c r="C15" s="353"/>
      <c r="D15" s="353"/>
      <c r="E15" s="353"/>
      <c r="F15" s="354"/>
      <c r="G15" s="355"/>
    </row>
    <row r="16" spans="1:7" ht="15" customHeight="1" x14ac:dyDescent="0.2">
      <c r="A16" s="4">
        <v>9</v>
      </c>
      <c r="B16" s="356"/>
      <c r="C16" s="353"/>
      <c r="D16" s="353"/>
      <c r="E16" s="353"/>
      <c r="F16" s="354"/>
      <c r="G16" s="355"/>
    </row>
    <row r="17" spans="1:7" ht="15" customHeight="1" x14ac:dyDescent="0.2">
      <c r="A17" s="4">
        <v>10</v>
      </c>
      <c r="B17" s="356"/>
      <c r="C17" s="353"/>
      <c r="D17" s="353"/>
      <c r="E17" s="353"/>
      <c r="F17" s="354"/>
      <c r="G17" s="355"/>
    </row>
    <row r="18" spans="1:7" ht="15" customHeight="1" x14ac:dyDescent="0.2">
      <c r="A18" s="4">
        <v>11</v>
      </c>
      <c r="B18" s="356"/>
      <c r="C18" s="353"/>
      <c r="D18" s="353"/>
      <c r="E18" s="353"/>
      <c r="F18" s="354"/>
      <c r="G18" s="355"/>
    </row>
    <row r="19" spans="1:7" ht="15" customHeight="1" x14ac:dyDescent="0.2">
      <c r="A19" s="4">
        <v>12</v>
      </c>
      <c r="B19" s="356"/>
      <c r="C19" s="353"/>
      <c r="D19" s="353"/>
      <c r="E19" s="353"/>
      <c r="F19" s="354"/>
      <c r="G19" s="355"/>
    </row>
    <row r="20" spans="1:7" ht="15" customHeight="1" x14ac:dyDescent="0.2">
      <c r="A20" s="4">
        <v>13</v>
      </c>
      <c r="B20" s="356"/>
      <c r="C20" s="353"/>
      <c r="D20" s="353"/>
      <c r="E20" s="353"/>
      <c r="F20" s="354"/>
      <c r="G20" s="355"/>
    </row>
    <row r="21" spans="1:7" ht="15" customHeight="1" x14ac:dyDescent="0.2">
      <c r="A21" s="4">
        <v>14</v>
      </c>
      <c r="B21" s="356"/>
      <c r="C21" s="353"/>
      <c r="D21" s="353"/>
      <c r="E21" s="353"/>
      <c r="F21" s="354"/>
      <c r="G21" s="355"/>
    </row>
    <row r="22" spans="1:7" ht="15" customHeight="1" x14ac:dyDescent="0.2">
      <c r="A22" s="4">
        <v>15</v>
      </c>
      <c r="B22" s="356"/>
      <c r="C22" s="353"/>
      <c r="D22" s="353"/>
      <c r="E22" s="353"/>
      <c r="F22" s="354"/>
      <c r="G22" s="355"/>
    </row>
    <row r="23" spans="1:7" ht="15" customHeight="1" x14ac:dyDescent="0.2">
      <c r="A23" s="4">
        <v>16</v>
      </c>
      <c r="B23" s="356"/>
      <c r="C23" s="353"/>
      <c r="D23" s="353"/>
      <c r="E23" s="353"/>
      <c r="F23" s="354"/>
      <c r="G23" s="355"/>
    </row>
    <row r="24" spans="1:7" ht="15" customHeight="1" x14ac:dyDescent="0.2">
      <c r="A24" s="4">
        <v>17</v>
      </c>
      <c r="B24" s="356"/>
      <c r="C24" s="353"/>
      <c r="D24" s="353"/>
      <c r="E24" s="353"/>
      <c r="F24" s="354"/>
      <c r="G24" s="355"/>
    </row>
    <row r="25" spans="1:7" ht="15" customHeight="1" x14ac:dyDescent="0.2">
      <c r="A25" s="4">
        <v>18</v>
      </c>
      <c r="B25" s="352"/>
      <c r="C25" s="353"/>
      <c r="D25" s="353"/>
      <c r="E25" s="353"/>
      <c r="F25" s="354"/>
      <c r="G25" s="355"/>
    </row>
    <row r="26" spans="1:7" ht="15" customHeight="1" x14ac:dyDescent="0.2">
      <c r="A26" s="4">
        <v>19</v>
      </c>
      <c r="B26" s="356"/>
      <c r="C26" s="353"/>
      <c r="D26" s="353"/>
      <c r="E26" s="353"/>
      <c r="F26" s="354"/>
      <c r="G26" s="355"/>
    </row>
    <row r="27" spans="1:7" ht="15" customHeight="1" x14ac:dyDescent="0.2">
      <c r="A27" s="4">
        <v>20</v>
      </c>
      <c r="B27" s="356"/>
      <c r="C27" s="353"/>
      <c r="D27" s="353"/>
      <c r="E27" s="353"/>
      <c r="F27" s="367"/>
      <c r="G27" s="368"/>
    </row>
    <row r="28" spans="1:7" s="5" customFormat="1" ht="15" customHeight="1" x14ac:dyDescent="0.2">
      <c r="A28" s="369" t="s">
        <v>122</v>
      </c>
      <c r="B28" s="370"/>
      <c r="C28" s="370"/>
      <c r="D28" s="370"/>
      <c r="E28" s="370"/>
      <c r="F28" s="371">
        <f>SUM(F8:F27)</f>
        <v>0</v>
      </c>
      <c r="G28" s="372"/>
    </row>
    <row r="29" spans="1:7" s="5" customFormat="1" ht="15" customHeight="1" thickBot="1" x14ac:dyDescent="0.25">
      <c r="A29" s="357" t="s">
        <v>112</v>
      </c>
      <c r="B29" s="358"/>
      <c r="C29" s="358"/>
      <c r="D29" s="358"/>
      <c r="E29" s="358"/>
      <c r="F29" s="359"/>
      <c r="G29" s="360"/>
    </row>
    <row r="30" spans="1:7" ht="15" customHeight="1" thickBot="1" x14ac:dyDescent="0.25">
      <c r="A30" s="361" t="s">
        <v>113</v>
      </c>
      <c r="B30" s="362"/>
      <c r="C30" s="362"/>
      <c r="D30" s="362"/>
      <c r="E30" s="363"/>
      <c r="F30" s="364">
        <f>SUM(F28:F29)</f>
        <v>0</v>
      </c>
      <c r="G30" s="365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B20:E20"/>
    <mergeCell ref="F20:G20"/>
    <mergeCell ref="F26:G26"/>
    <mergeCell ref="B21:E21"/>
    <mergeCell ref="F21:G21"/>
    <mergeCell ref="B22:E22"/>
    <mergeCell ref="B25:E25"/>
    <mergeCell ref="F25:G25"/>
    <mergeCell ref="B26:E26"/>
    <mergeCell ref="B19:E19"/>
    <mergeCell ref="F19:G19"/>
    <mergeCell ref="F22:G22"/>
    <mergeCell ref="B23:E23"/>
    <mergeCell ref="F23:G23"/>
    <mergeCell ref="F24:G24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7" zoomScale="70" zoomScaleNormal="70" zoomScaleSheetLayoutView="70" zoomScalePageLayoutView="70" workbookViewId="0">
      <selection activeCell="A47" sqref="A47:J47"/>
    </sheetView>
  </sheetViews>
  <sheetFormatPr defaultColWidth="0" defaultRowHeight="15" zeroHeight="1" x14ac:dyDescent="0.2"/>
  <cols>
    <col min="1" max="1" width="3.42578125" style="57" customWidth="1"/>
    <col min="2" max="5" width="3.5703125" style="57" customWidth="1"/>
    <col min="6" max="6" width="47.85546875" style="57" customWidth="1"/>
    <col min="7" max="7" width="23" style="57" customWidth="1"/>
    <col min="8" max="8" width="17.42578125" style="57" customWidth="1"/>
    <col min="9" max="9" width="16.42578125" style="57" customWidth="1"/>
    <col min="10" max="10" width="19.42578125" style="57" customWidth="1"/>
    <col min="11" max="11" width="18.140625" style="57" customWidth="1"/>
    <col min="12" max="12" width="14.5703125" style="57" customWidth="1"/>
    <col min="13" max="13" width="17.28515625" style="57" customWidth="1"/>
    <col min="14" max="14" width="16.5703125" style="57" customWidth="1"/>
    <col min="15" max="15" width="14.5703125" style="57" customWidth="1"/>
    <col min="16" max="16" width="17" style="57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93" t="s">
        <v>82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19" ht="15.75" x14ac:dyDescent="0.25">
      <c r="A2" s="393" t="s">
        <v>107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</row>
    <row r="3" spans="1:119" ht="15.75" x14ac:dyDescent="0.25">
      <c r="A3" s="157" t="s">
        <v>132</v>
      </c>
      <c r="B3" s="158"/>
      <c r="C3" s="159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19" s="14" customFormat="1" ht="15.75" x14ac:dyDescent="0.25">
      <c r="A4" s="187"/>
      <c r="B4" s="188"/>
      <c r="C4" s="188"/>
      <c r="D4" s="188"/>
      <c r="E4" s="188"/>
      <c r="F4" s="188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147" t="s">
        <v>131</v>
      </c>
      <c r="B5" s="160"/>
      <c r="C5" s="160"/>
      <c r="D5" s="391" t="str">
        <f>'CSS '!D2:E2</f>
        <v>Los Angeles</v>
      </c>
      <c r="E5" s="391"/>
      <c r="F5" s="391"/>
      <c r="G5" s="55"/>
      <c r="H5" s="55"/>
      <c r="I5" s="55"/>
      <c r="J5" s="55"/>
      <c r="K5" s="190"/>
      <c r="L5" s="55"/>
      <c r="M5" s="55"/>
      <c r="N5" s="55"/>
      <c r="O5" s="120" t="s">
        <v>81</v>
      </c>
      <c r="P5" s="120">
        <v>42662</v>
      </c>
    </row>
    <row r="6" spans="1:119" ht="15" customHeight="1" x14ac:dyDescent="0.25">
      <c r="A6" s="392"/>
      <c r="B6" s="392"/>
      <c r="C6" s="392"/>
      <c r="D6" s="392"/>
      <c r="E6" s="392"/>
      <c r="F6" s="392"/>
      <c r="G6" s="191"/>
      <c r="H6" s="191"/>
      <c r="I6" s="191"/>
      <c r="J6" s="191"/>
      <c r="K6" s="191"/>
      <c r="L6" s="191"/>
      <c r="M6" s="191"/>
      <c r="N6" s="192"/>
      <c r="O6" s="193"/>
      <c r="P6" s="193"/>
    </row>
    <row r="7" spans="1:119" ht="31.5" customHeight="1" x14ac:dyDescent="0.25">
      <c r="A7" s="388" t="s">
        <v>102</v>
      </c>
      <c r="B7" s="389"/>
      <c r="C7" s="389"/>
      <c r="D7" s="389"/>
      <c r="E7" s="389"/>
      <c r="F7" s="390"/>
      <c r="G7" s="195" t="s">
        <v>161</v>
      </c>
      <c r="H7" s="55"/>
      <c r="I7" s="55"/>
      <c r="J7" s="55"/>
      <c r="K7" s="55"/>
      <c r="L7" s="55"/>
      <c r="M7" s="55"/>
      <c r="N7" s="55"/>
      <c r="O7" s="55"/>
      <c r="P7" s="55"/>
    </row>
    <row r="8" spans="1:119" ht="15" customHeight="1" x14ac:dyDescent="0.2">
      <c r="A8" s="405"/>
      <c r="B8" s="405"/>
      <c r="C8" s="405"/>
      <c r="D8" s="405"/>
      <c r="E8" s="405"/>
      <c r="F8" s="40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19" s="9" customFormat="1" ht="20.100000000000001" customHeight="1" x14ac:dyDescent="0.25">
      <c r="A9" s="234" t="s">
        <v>108</v>
      </c>
      <c r="B9" s="235"/>
      <c r="C9" s="235"/>
      <c r="D9" s="235"/>
      <c r="E9" s="235"/>
      <c r="F9" s="236"/>
      <c r="G9" s="161" t="s">
        <v>0</v>
      </c>
      <c r="H9" s="161" t="s">
        <v>1</v>
      </c>
      <c r="I9" s="161" t="s">
        <v>7</v>
      </c>
      <c r="J9" s="161" t="s">
        <v>2</v>
      </c>
      <c r="K9" s="161" t="s">
        <v>3</v>
      </c>
      <c r="L9" s="161" t="s">
        <v>4</v>
      </c>
      <c r="M9" s="161" t="s">
        <v>5</v>
      </c>
      <c r="N9" s="161" t="s">
        <v>6</v>
      </c>
      <c r="O9" s="161" t="s">
        <v>41</v>
      </c>
      <c r="P9" s="161" t="s">
        <v>121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237"/>
      <c r="B10" s="238"/>
      <c r="C10" s="238"/>
      <c r="D10" s="238"/>
      <c r="E10" s="238"/>
      <c r="F10" s="239"/>
      <c r="G10" s="386" t="s">
        <v>15</v>
      </c>
      <c r="H10" s="386" t="s">
        <v>17</v>
      </c>
      <c r="I10" s="386" t="s">
        <v>38</v>
      </c>
      <c r="J10" s="386" t="s">
        <v>16</v>
      </c>
      <c r="K10" s="386" t="s">
        <v>18</v>
      </c>
      <c r="L10" s="386" t="s">
        <v>30</v>
      </c>
      <c r="M10" s="386" t="s">
        <v>31</v>
      </c>
      <c r="N10" s="386" t="s">
        <v>70</v>
      </c>
      <c r="O10" s="386" t="s">
        <v>52</v>
      </c>
      <c r="P10" s="386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240"/>
      <c r="B11" s="241"/>
      <c r="C11" s="241"/>
      <c r="D11" s="241"/>
      <c r="E11" s="241"/>
      <c r="F11" s="242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4.95" customHeight="1" x14ac:dyDescent="0.25">
      <c r="A12" s="162">
        <v>1</v>
      </c>
      <c r="B12" s="317" t="s">
        <v>243</v>
      </c>
      <c r="C12" s="249"/>
      <c r="D12" s="249"/>
      <c r="E12" s="249"/>
      <c r="F12" s="250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19" ht="24.95" customHeight="1" x14ac:dyDescent="0.25">
      <c r="A13" s="108"/>
      <c r="B13" s="101"/>
      <c r="C13" s="51" t="s">
        <v>42</v>
      </c>
      <c r="D13" s="213" t="s">
        <v>66</v>
      </c>
      <c r="E13" s="213"/>
      <c r="F13" s="214"/>
      <c r="G13" s="122"/>
      <c r="H13" s="122"/>
      <c r="I13" s="122"/>
      <c r="J13" s="122"/>
      <c r="K13" s="122"/>
      <c r="L13" s="122"/>
      <c r="M13" s="122"/>
      <c r="N13" s="122"/>
      <c r="O13" s="123">
        <v>192053984</v>
      </c>
      <c r="P13" s="123">
        <f>O13</f>
        <v>192053984</v>
      </c>
    </row>
    <row r="14" spans="1:119" ht="24.95" customHeight="1" x14ac:dyDescent="0.25">
      <c r="A14" s="108"/>
      <c r="B14" s="101"/>
      <c r="C14" s="51" t="s">
        <v>43</v>
      </c>
      <c r="D14" s="213" t="s">
        <v>84</v>
      </c>
      <c r="E14" s="213"/>
      <c r="F14" s="214"/>
      <c r="G14" s="122"/>
      <c r="H14" s="122"/>
      <c r="I14" s="122"/>
      <c r="J14" s="123">
        <v>11710342</v>
      </c>
      <c r="K14" s="122"/>
      <c r="L14" s="122"/>
      <c r="M14" s="122"/>
      <c r="N14" s="122"/>
      <c r="O14" s="122"/>
      <c r="P14" s="123">
        <f t="shared" ref="P14:P22" si="0">SUM(G14:O14)</f>
        <v>11710342</v>
      </c>
    </row>
    <row r="15" spans="1:119" ht="24.95" customHeight="1" x14ac:dyDescent="0.25">
      <c r="A15" s="108"/>
      <c r="B15" s="101"/>
      <c r="C15" s="149" t="s">
        <v>44</v>
      </c>
      <c r="D15" s="213" t="s">
        <v>72</v>
      </c>
      <c r="E15" s="213"/>
      <c r="F15" s="214"/>
      <c r="G15" s="122"/>
      <c r="H15" s="122"/>
      <c r="I15" s="122"/>
      <c r="J15" s="123">
        <v>31370800</v>
      </c>
      <c r="K15" s="123">
        <v>58042810</v>
      </c>
      <c r="L15" s="122"/>
      <c r="M15" s="122"/>
      <c r="N15" s="122"/>
      <c r="O15" s="122"/>
      <c r="P15" s="123">
        <f t="shared" si="0"/>
        <v>89413610</v>
      </c>
    </row>
    <row r="16" spans="1:119" s="14" customFormat="1" ht="24.95" customHeight="1" x14ac:dyDescent="0.2">
      <c r="A16" s="163"/>
      <c r="B16" s="164"/>
      <c r="C16" s="149" t="s">
        <v>45</v>
      </c>
      <c r="D16" s="402" t="s">
        <v>73</v>
      </c>
      <c r="E16" s="402"/>
      <c r="F16" s="403"/>
      <c r="G16" s="123"/>
      <c r="H16" s="123"/>
      <c r="I16" s="123">
        <v>13629032</v>
      </c>
      <c r="J16" s="123"/>
      <c r="K16" s="123">
        <v>31847439</v>
      </c>
      <c r="L16" s="123"/>
      <c r="M16" s="123"/>
      <c r="N16" s="123"/>
      <c r="O16" s="125"/>
      <c r="P16" s="123">
        <f t="shared" si="0"/>
        <v>45476471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4.95" customHeight="1" x14ac:dyDescent="0.2">
      <c r="A17" s="163"/>
      <c r="B17" s="164"/>
      <c r="C17" s="149" t="s">
        <v>46</v>
      </c>
      <c r="D17" s="394" t="s">
        <v>74</v>
      </c>
      <c r="E17" s="394"/>
      <c r="F17" s="395"/>
      <c r="G17" s="123"/>
      <c r="H17" s="123"/>
      <c r="I17" s="123">
        <v>20294900</v>
      </c>
      <c r="J17" s="123"/>
      <c r="K17" s="123"/>
      <c r="L17" s="123"/>
      <c r="M17" s="123"/>
      <c r="N17" s="123"/>
      <c r="O17" s="125"/>
      <c r="P17" s="123">
        <f t="shared" si="0"/>
        <v>20294900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4.95" customHeight="1" x14ac:dyDescent="0.2">
      <c r="A18" s="163"/>
      <c r="B18" s="164"/>
      <c r="C18" s="149" t="s">
        <v>47</v>
      </c>
      <c r="D18" s="394" t="s">
        <v>75</v>
      </c>
      <c r="E18" s="394"/>
      <c r="F18" s="395"/>
      <c r="G18" s="123"/>
      <c r="H18" s="123"/>
      <c r="I18" s="123">
        <v>14185061</v>
      </c>
      <c r="J18" s="123"/>
      <c r="K18" s="123"/>
      <c r="L18" s="123"/>
      <c r="M18" s="123"/>
      <c r="N18" s="123"/>
      <c r="O18" s="125"/>
      <c r="P18" s="123">
        <f t="shared" si="0"/>
        <v>14185061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4.95" customHeight="1" x14ac:dyDescent="0.2">
      <c r="A19" s="163"/>
      <c r="B19" s="164"/>
      <c r="C19" s="149" t="s">
        <v>48</v>
      </c>
      <c r="D19" s="394" t="s">
        <v>76</v>
      </c>
      <c r="E19" s="394"/>
      <c r="F19" s="395"/>
      <c r="G19" s="123">
        <v>-35622112</v>
      </c>
      <c r="H19" s="123">
        <f>14021933-0.3</f>
        <v>14021932.699999999</v>
      </c>
      <c r="I19" s="123">
        <f>13909700+0.4</f>
        <v>13909700.4</v>
      </c>
      <c r="J19" s="123"/>
      <c r="K19" s="123"/>
      <c r="L19" s="123">
        <f>792457-0.3</f>
        <v>792456.7</v>
      </c>
      <c r="M19" s="123">
        <v>1546574</v>
      </c>
      <c r="N19" s="123"/>
      <c r="O19" s="125"/>
      <c r="P19" s="123">
        <f t="shared" si="0"/>
        <v>-5351448.2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4.95" customHeight="1" x14ac:dyDescent="0.2">
      <c r="A20" s="163"/>
      <c r="B20" s="164"/>
      <c r="C20" s="149" t="s">
        <v>49</v>
      </c>
      <c r="D20" s="394" t="s">
        <v>88</v>
      </c>
      <c r="E20" s="394"/>
      <c r="F20" s="395"/>
      <c r="G20" s="123">
        <f>96039986-0.2</f>
        <v>96039985.799999997</v>
      </c>
      <c r="H20" s="123">
        <f>86283399-0.3</f>
        <v>86283398.700000003</v>
      </c>
      <c r="I20" s="123">
        <f>22706158-0.4</f>
        <v>22706157.600000001</v>
      </c>
      <c r="J20" s="123"/>
      <c r="K20" s="123"/>
      <c r="L20" s="125"/>
      <c r="M20" s="125"/>
      <c r="N20" s="125"/>
      <c r="O20" s="125"/>
      <c r="P20" s="123">
        <f t="shared" si="0"/>
        <v>205029542.09999999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4.95" customHeight="1" thickBot="1" x14ac:dyDescent="0.25">
      <c r="A21" s="163"/>
      <c r="B21" s="164"/>
      <c r="C21" s="51" t="s">
        <v>50</v>
      </c>
      <c r="D21" s="394" t="s">
        <v>124</v>
      </c>
      <c r="E21" s="394"/>
      <c r="F21" s="395"/>
      <c r="G21" s="123">
        <f>1624928-0.2</f>
        <v>1624927.8</v>
      </c>
      <c r="H21" s="123">
        <v>6734377</v>
      </c>
      <c r="I21" s="123">
        <f>2284454-0.2</f>
        <v>2284453.7999999998</v>
      </c>
      <c r="J21" s="123">
        <v>1384607</v>
      </c>
      <c r="K21" s="123">
        <f>3324685-0.4</f>
        <v>3324684.6</v>
      </c>
      <c r="L21" s="123">
        <f>145893-0.3</f>
        <v>145892.70000000001</v>
      </c>
      <c r="M21" s="123">
        <v>77894</v>
      </c>
      <c r="N21" s="123"/>
      <c r="O21" s="126"/>
      <c r="P21" s="127">
        <f t="shared" si="0"/>
        <v>15576836.899999999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4.95" customHeight="1" thickBot="1" x14ac:dyDescent="0.25">
      <c r="A22" s="108"/>
      <c r="B22" s="58" t="s">
        <v>51</v>
      </c>
      <c r="C22" s="266" t="s">
        <v>87</v>
      </c>
      <c r="D22" s="266"/>
      <c r="E22" s="266"/>
      <c r="F22" s="266"/>
      <c r="G22" s="165">
        <f>SUM(G16:G21)</f>
        <v>62042801.599999994</v>
      </c>
      <c r="H22" s="165">
        <f>SUM(H16:H21)</f>
        <v>107039708.40000001</v>
      </c>
      <c r="I22" s="165">
        <f>SUM(I16:I21)</f>
        <v>87009304.799999997</v>
      </c>
      <c r="J22" s="165">
        <f>SUM(J14:J21)</f>
        <v>44465749</v>
      </c>
      <c r="K22" s="165">
        <f>SUM(K15:K21)</f>
        <v>93214933.599999994</v>
      </c>
      <c r="L22" s="165">
        <f>SUM(L16:L21)</f>
        <v>938349.39999999991</v>
      </c>
      <c r="M22" s="165">
        <f>SUM(M16:M21)</f>
        <v>1624468</v>
      </c>
      <c r="N22" s="165">
        <f>SUM(N16:N21)</f>
        <v>0</v>
      </c>
      <c r="O22" s="165">
        <f>O13</f>
        <v>192053984</v>
      </c>
      <c r="P22" s="165">
        <f t="shared" si="0"/>
        <v>588389298.79999995</v>
      </c>
    </row>
    <row r="23" spans="1:119" ht="24.95" customHeight="1" x14ac:dyDescent="0.25">
      <c r="A23" s="162">
        <v>2</v>
      </c>
      <c r="B23" s="208" t="s">
        <v>244</v>
      </c>
      <c r="C23" s="209"/>
      <c r="D23" s="209"/>
      <c r="E23" s="209"/>
      <c r="F23" s="210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3"/>
    </row>
    <row r="24" spans="1:119" ht="24.95" customHeight="1" x14ac:dyDescent="0.2">
      <c r="A24" s="108"/>
      <c r="B24" s="58"/>
      <c r="C24" s="83" t="s">
        <v>42</v>
      </c>
      <c r="D24" s="83" t="s">
        <v>90</v>
      </c>
      <c r="E24" s="83"/>
      <c r="F24" s="84"/>
      <c r="G24" s="123"/>
      <c r="H24" s="123"/>
      <c r="I24" s="125"/>
      <c r="J24" s="125"/>
      <c r="K24" s="125"/>
      <c r="L24" s="125"/>
      <c r="M24" s="125"/>
      <c r="N24" s="125"/>
      <c r="O24" s="123">
        <f>(-G24-H24)</f>
        <v>0</v>
      </c>
      <c r="P24" s="123">
        <f>G24+H24+O24</f>
        <v>0</v>
      </c>
    </row>
    <row r="25" spans="1:119" ht="24.95" customHeight="1" x14ac:dyDescent="0.2">
      <c r="A25" s="108"/>
      <c r="B25" s="58"/>
      <c r="C25" s="51" t="s">
        <v>43</v>
      </c>
      <c r="D25" s="83" t="s">
        <v>143</v>
      </c>
      <c r="E25" s="83"/>
      <c r="F25" s="84"/>
      <c r="G25" s="123">
        <f>282417962-0.3-14120898</f>
        <v>268297063.69999999</v>
      </c>
      <c r="H25" s="123">
        <f>70604491-0.3-3530225</f>
        <v>67074265.700000003</v>
      </c>
      <c r="I25" s="123">
        <f>14120898+3530225</f>
        <v>17651123</v>
      </c>
      <c r="J25" s="125"/>
      <c r="K25" s="125"/>
      <c r="L25" s="125"/>
      <c r="M25" s="123"/>
      <c r="N25" s="125"/>
      <c r="O25" s="125"/>
      <c r="P25" s="123">
        <f>SUM(G25:O25)</f>
        <v>353022452.39999998</v>
      </c>
    </row>
    <row r="26" spans="1:119" ht="24.95" customHeight="1" thickBot="1" x14ac:dyDescent="0.25">
      <c r="A26" s="108"/>
      <c r="B26" s="58"/>
      <c r="C26" s="51" t="s">
        <v>44</v>
      </c>
      <c r="D26" s="51" t="s">
        <v>147</v>
      </c>
      <c r="E26" s="51"/>
      <c r="F26" s="52"/>
      <c r="G26" s="166">
        <f>1813689-0.2</f>
        <v>1813688.8</v>
      </c>
      <c r="H26" s="166">
        <v>955951</v>
      </c>
      <c r="I26" s="166">
        <f>574625-0.4</f>
        <v>574624.6</v>
      </c>
      <c r="J26" s="166">
        <f>244134-0.4</f>
        <v>244133.6</v>
      </c>
      <c r="K26" s="166">
        <v>511785</v>
      </c>
      <c r="L26" s="166">
        <f>5152-0.3</f>
        <v>5151.7</v>
      </c>
      <c r="M26" s="166">
        <f>8919-0.3</f>
        <v>8918.7000000000007</v>
      </c>
      <c r="N26" s="166"/>
      <c r="O26" s="127"/>
      <c r="P26" s="127">
        <f>SUM(G26:O26)</f>
        <v>4114253.4000000004</v>
      </c>
    </row>
    <row r="27" spans="1:119" ht="24.95" customHeight="1" thickBot="1" x14ac:dyDescent="0.25">
      <c r="A27" s="110"/>
      <c r="B27" s="167" t="s">
        <v>45</v>
      </c>
      <c r="C27" s="404" t="s">
        <v>87</v>
      </c>
      <c r="D27" s="404"/>
      <c r="E27" s="404"/>
      <c r="F27" s="404"/>
      <c r="G27" s="165">
        <f>SUM(G24:G26)</f>
        <v>270110752.5</v>
      </c>
      <c r="H27" s="165">
        <f>SUM(H24:H26)</f>
        <v>68030216.700000003</v>
      </c>
      <c r="I27" s="165">
        <f>SUM(I25:I26)</f>
        <v>18225747.600000001</v>
      </c>
      <c r="J27" s="165">
        <f>J26</f>
        <v>244133.6</v>
      </c>
      <c r="K27" s="165">
        <f>K26</f>
        <v>511785</v>
      </c>
      <c r="L27" s="165">
        <f>L26</f>
        <v>5151.7</v>
      </c>
      <c r="M27" s="165">
        <f>SUM(M25:M26)</f>
        <v>8918.7000000000007</v>
      </c>
      <c r="N27" s="165">
        <f>N26</f>
        <v>0</v>
      </c>
      <c r="O27" s="165">
        <f>SUM(O24+O26)</f>
        <v>0</v>
      </c>
      <c r="P27" s="165">
        <f>SUM(G27:O27)</f>
        <v>357136705.80000001</v>
      </c>
      <c r="S27" s="15"/>
    </row>
    <row r="28" spans="1:119" ht="24.95" customHeight="1" x14ac:dyDescent="0.25">
      <c r="A28" s="162">
        <v>3</v>
      </c>
      <c r="B28" s="208" t="s">
        <v>245</v>
      </c>
      <c r="C28" s="209"/>
      <c r="D28" s="209"/>
      <c r="E28" s="209"/>
      <c r="F28" s="210"/>
      <c r="G28" s="128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19" ht="24.95" customHeight="1" x14ac:dyDescent="0.25">
      <c r="A29" s="168"/>
      <c r="B29" s="169" t="s">
        <v>118</v>
      </c>
      <c r="C29" s="213" t="s">
        <v>115</v>
      </c>
      <c r="D29" s="213"/>
      <c r="E29" s="213"/>
      <c r="F29" s="214"/>
      <c r="G29" s="128"/>
      <c r="H29" s="122"/>
      <c r="I29" s="122"/>
      <c r="J29" s="122"/>
      <c r="K29" s="122"/>
      <c r="L29" s="122"/>
      <c r="M29" s="122"/>
      <c r="N29" s="122"/>
      <c r="O29" s="122"/>
      <c r="P29" s="122"/>
    </row>
    <row r="30" spans="1:119" ht="24.95" customHeight="1" x14ac:dyDescent="0.2">
      <c r="A30" s="108"/>
      <c r="B30" s="169"/>
      <c r="C30" s="50" t="s">
        <v>42</v>
      </c>
      <c r="D30" s="407" t="s">
        <v>85</v>
      </c>
      <c r="E30" s="407"/>
      <c r="F30" s="408"/>
      <c r="G30" s="129"/>
      <c r="H30" s="125"/>
      <c r="I30" s="125"/>
      <c r="J30" s="170">
        <v>4570631.2</v>
      </c>
      <c r="K30" s="125"/>
      <c r="L30" s="125"/>
      <c r="M30" s="125"/>
      <c r="N30" s="125"/>
      <c r="O30" s="125"/>
      <c r="P30" s="123">
        <f t="shared" ref="P30:P37" si="1">SUM(G30:O30)</f>
        <v>4570631.2</v>
      </c>
    </row>
    <row r="31" spans="1:119" ht="24.95" customHeight="1" x14ac:dyDescent="0.2">
      <c r="A31" s="108"/>
      <c r="B31" s="169"/>
      <c r="C31" s="50" t="s">
        <v>43</v>
      </c>
      <c r="D31" s="407" t="s">
        <v>77</v>
      </c>
      <c r="E31" s="407"/>
      <c r="F31" s="408"/>
      <c r="G31" s="129"/>
      <c r="H31" s="125"/>
      <c r="I31" s="125"/>
      <c r="J31" s="132"/>
      <c r="K31" s="132">
        <f>26842502+0.2</f>
        <v>26842502.199999999</v>
      </c>
      <c r="L31" s="125"/>
      <c r="M31" s="125"/>
      <c r="N31" s="125"/>
      <c r="O31" s="125"/>
      <c r="P31" s="123">
        <f t="shared" si="1"/>
        <v>26842502.199999999</v>
      </c>
    </row>
    <row r="32" spans="1:119" ht="24.95" customHeight="1" x14ac:dyDescent="0.2">
      <c r="A32" s="108"/>
      <c r="B32" s="169"/>
      <c r="C32" s="50" t="s">
        <v>44</v>
      </c>
      <c r="D32" s="213" t="s">
        <v>78</v>
      </c>
      <c r="E32" s="213"/>
      <c r="F32" s="214"/>
      <c r="G32" s="129"/>
      <c r="H32" s="125"/>
      <c r="I32" s="125"/>
      <c r="J32" s="123"/>
      <c r="K32" s="123"/>
      <c r="L32" s="125"/>
      <c r="M32" s="123"/>
      <c r="N32" s="125"/>
      <c r="O32" s="125"/>
      <c r="P32" s="123">
        <f t="shared" si="1"/>
        <v>0</v>
      </c>
    </row>
    <row r="33" spans="1:17" ht="24.95" customHeight="1" x14ac:dyDescent="0.2">
      <c r="A33" s="108"/>
      <c r="B33" s="169"/>
      <c r="C33" s="50" t="s">
        <v>45</v>
      </c>
      <c r="D33" s="213" t="s">
        <v>79</v>
      </c>
      <c r="E33" s="213"/>
      <c r="F33" s="214"/>
      <c r="G33" s="129"/>
      <c r="H33" s="125"/>
      <c r="I33" s="125"/>
      <c r="J33" s="171"/>
      <c r="K33" s="171"/>
      <c r="L33" s="125"/>
      <c r="M33" s="123"/>
      <c r="N33" s="125"/>
      <c r="O33" s="125"/>
      <c r="P33" s="123">
        <f t="shared" si="1"/>
        <v>0</v>
      </c>
    </row>
    <row r="34" spans="1:17" ht="24.95" customHeight="1" x14ac:dyDescent="0.2">
      <c r="A34" s="108"/>
      <c r="B34" s="169"/>
      <c r="C34" s="50" t="s">
        <v>46</v>
      </c>
      <c r="D34" s="213" t="s">
        <v>80</v>
      </c>
      <c r="E34" s="213"/>
      <c r="F34" s="214"/>
      <c r="G34" s="130"/>
      <c r="H34" s="131"/>
      <c r="I34" s="125"/>
      <c r="J34" s="123"/>
      <c r="K34" s="123"/>
      <c r="L34" s="131"/>
      <c r="M34" s="123"/>
      <c r="N34" s="125"/>
      <c r="O34" s="125"/>
      <c r="P34" s="123">
        <f t="shared" si="1"/>
        <v>0</v>
      </c>
    </row>
    <row r="35" spans="1:17" ht="24.95" customHeight="1" x14ac:dyDescent="0.2">
      <c r="A35" s="108"/>
      <c r="B35" s="169"/>
      <c r="C35" s="50" t="s">
        <v>47</v>
      </c>
      <c r="D35" s="213" t="s">
        <v>92</v>
      </c>
      <c r="E35" s="213"/>
      <c r="F35" s="214"/>
      <c r="G35" s="142"/>
      <c r="H35" s="142">
        <f>+H19</f>
        <v>14021932.699999999</v>
      </c>
      <c r="I35" s="142">
        <f>+I19</f>
        <v>13909700.4</v>
      </c>
      <c r="J35" s="123"/>
      <c r="K35" s="123"/>
      <c r="L35" s="123">
        <f>792457-0.2</f>
        <v>792456.8</v>
      </c>
      <c r="M35" s="123">
        <v>244052</v>
      </c>
      <c r="N35" s="123"/>
      <c r="O35" s="125"/>
      <c r="P35" s="123">
        <f t="shared" si="1"/>
        <v>28968141.900000002</v>
      </c>
    </row>
    <row r="36" spans="1:17" ht="24.95" customHeight="1" x14ac:dyDescent="0.2">
      <c r="A36" s="108"/>
      <c r="B36" s="169"/>
      <c r="C36" s="50" t="s">
        <v>48</v>
      </c>
      <c r="D36" s="213" t="s">
        <v>89</v>
      </c>
      <c r="E36" s="213"/>
      <c r="F36" s="214"/>
      <c r="G36" s="142">
        <f>96039986-0.2</f>
        <v>96039985.799999997</v>
      </c>
      <c r="H36" s="142">
        <f>80292760-H35</f>
        <v>66270827.299999997</v>
      </c>
      <c r="I36" s="142">
        <f>22461612-I35</f>
        <v>8551911.5999999996</v>
      </c>
      <c r="J36" s="132"/>
      <c r="K36" s="132"/>
      <c r="L36" s="125"/>
      <c r="M36" s="125"/>
      <c r="N36" s="125"/>
      <c r="O36" s="125"/>
      <c r="P36" s="123">
        <f t="shared" si="1"/>
        <v>170862724.69999999</v>
      </c>
    </row>
    <row r="37" spans="1:17" ht="24.95" customHeight="1" x14ac:dyDescent="0.2">
      <c r="A37" s="108"/>
      <c r="B37" s="169"/>
      <c r="C37" s="50" t="s">
        <v>49</v>
      </c>
      <c r="D37" s="213" t="s">
        <v>109</v>
      </c>
      <c r="E37" s="213"/>
      <c r="F37" s="214"/>
      <c r="G37" s="172">
        <f>253477984-G36-G35</f>
        <v>157437998.19999999</v>
      </c>
      <c r="H37" s="143"/>
      <c r="I37" s="143"/>
      <c r="J37" s="133"/>
      <c r="K37" s="133"/>
      <c r="L37" s="134"/>
      <c r="M37" s="127"/>
      <c r="N37" s="134"/>
      <c r="O37" s="134"/>
      <c r="P37" s="127">
        <f t="shared" si="1"/>
        <v>157437998.19999999</v>
      </c>
    </row>
    <row r="38" spans="1:17" ht="24.95" customHeight="1" x14ac:dyDescent="0.25">
      <c r="A38" s="108"/>
      <c r="B38" s="409" t="s">
        <v>145</v>
      </c>
      <c r="C38" s="410"/>
      <c r="D38" s="410"/>
      <c r="E38" s="410"/>
      <c r="F38" s="411"/>
      <c r="G38" s="173">
        <f>G35+G36+G37</f>
        <v>253477984</v>
      </c>
      <c r="H38" s="173">
        <f>H35+H36+H37</f>
        <v>80292760</v>
      </c>
      <c r="I38" s="173">
        <f>I35+I36+I37</f>
        <v>22461612</v>
      </c>
      <c r="J38" s="135">
        <f>J30+J31+J32+J33+J34+J35+J36+J37</f>
        <v>4570631.2</v>
      </c>
      <c r="K38" s="135">
        <f>K31+K32+K33+K34+K35+K36+K37</f>
        <v>26842502.199999999</v>
      </c>
      <c r="L38" s="135">
        <f>L35</f>
        <v>792456.8</v>
      </c>
      <c r="M38" s="173">
        <f>M32+M33+M34+M35+M37</f>
        <v>244052</v>
      </c>
      <c r="N38" s="135">
        <f>N35</f>
        <v>0</v>
      </c>
      <c r="O38" s="136"/>
      <c r="P38" s="153">
        <f>SUM(G38:O38)</f>
        <v>388681998.19999999</v>
      </c>
    </row>
    <row r="39" spans="1:17" ht="24.95" customHeight="1" x14ac:dyDescent="0.2">
      <c r="A39" s="108"/>
      <c r="B39" s="169"/>
      <c r="C39" s="50" t="s">
        <v>50</v>
      </c>
      <c r="D39" s="213" t="s">
        <v>86</v>
      </c>
      <c r="E39" s="213"/>
      <c r="F39" s="214"/>
      <c r="G39" s="174"/>
      <c r="H39" s="174"/>
      <c r="I39" s="174"/>
      <c r="J39" s="174"/>
      <c r="K39" s="174"/>
      <c r="L39" s="174">
        <f>943501.1-L35</f>
        <v>151044.29999999993</v>
      </c>
      <c r="M39" s="174"/>
      <c r="N39" s="174"/>
      <c r="O39" s="126"/>
      <c r="P39" s="175">
        <f>SUM(G39:O39)</f>
        <v>151044.29999999993</v>
      </c>
      <c r="Q39" s="36"/>
    </row>
    <row r="40" spans="1:17" ht="24.95" customHeight="1" x14ac:dyDescent="0.2">
      <c r="A40" s="108"/>
      <c r="B40" s="169" t="s">
        <v>119</v>
      </c>
      <c r="C40" s="213" t="s">
        <v>116</v>
      </c>
      <c r="D40" s="213"/>
      <c r="E40" s="213"/>
      <c r="F40" s="214"/>
      <c r="G40" s="137"/>
      <c r="H40" s="137"/>
      <c r="I40" s="137"/>
      <c r="J40" s="137"/>
      <c r="K40" s="137"/>
      <c r="L40" s="137"/>
      <c r="M40" s="137"/>
      <c r="N40" s="137"/>
      <c r="O40" s="126"/>
      <c r="P40" s="126"/>
      <c r="Q40" s="37"/>
    </row>
    <row r="41" spans="1:17" ht="24.95" customHeight="1" x14ac:dyDescent="0.25">
      <c r="A41" s="108"/>
      <c r="B41" s="60"/>
      <c r="C41" s="50" t="s">
        <v>42</v>
      </c>
      <c r="D41" s="50" t="s">
        <v>104</v>
      </c>
      <c r="E41" s="50"/>
      <c r="F41" s="50"/>
      <c r="G41" s="123"/>
      <c r="H41" s="142"/>
      <c r="I41" s="142"/>
      <c r="J41" s="142"/>
      <c r="K41" s="142"/>
      <c r="L41" s="142"/>
      <c r="M41" s="142"/>
      <c r="N41" s="142"/>
      <c r="O41" s="125"/>
      <c r="P41" s="123">
        <f>SUM(G41:O41)</f>
        <v>0</v>
      </c>
    </row>
    <row r="42" spans="1:17" ht="24.95" customHeight="1" x14ac:dyDescent="0.25">
      <c r="A42" s="108"/>
      <c r="B42" s="60"/>
      <c r="C42" s="50" t="s">
        <v>43</v>
      </c>
      <c r="D42" s="50" t="s">
        <v>105</v>
      </c>
      <c r="E42" s="50"/>
      <c r="F42" s="53"/>
      <c r="G42" s="142">
        <v>42320499</v>
      </c>
      <c r="H42" s="142">
        <f>78990929-0.4</f>
        <v>78990928.599999994</v>
      </c>
      <c r="I42" s="142">
        <f>164730-0.2</f>
        <v>164729.79999999999</v>
      </c>
      <c r="J42" s="142"/>
      <c r="K42" s="142"/>
      <c r="L42" s="142"/>
      <c r="M42" s="142"/>
      <c r="N42" s="142"/>
      <c r="O42" s="125"/>
      <c r="P42" s="123">
        <f>SUM(G42:O42)</f>
        <v>121476157.39999999</v>
      </c>
    </row>
    <row r="43" spans="1:17" ht="24.95" customHeight="1" x14ac:dyDescent="0.25">
      <c r="A43" s="108"/>
      <c r="B43" s="60"/>
      <c r="C43" s="50" t="s">
        <v>44</v>
      </c>
      <c r="D43" s="213" t="s">
        <v>101</v>
      </c>
      <c r="E43" s="213"/>
      <c r="F43" s="214"/>
      <c r="G43" s="176">
        <f>203666151-2.2</f>
        <v>203666148.80000001</v>
      </c>
      <c r="H43" s="142">
        <f>123102359-0.3</f>
        <v>123102358.7</v>
      </c>
      <c r="I43" s="142">
        <f>7698603+2196798-0.3</f>
        <v>9895400.6999999993</v>
      </c>
      <c r="J43" s="142"/>
      <c r="K43" s="142">
        <f>20648+0.2</f>
        <v>20648.2</v>
      </c>
      <c r="L43" s="142"/>
      <c r="M43" s="142"/>
      <c r="N43" s="142"/>
      <c r="O43" s="125"/>
      <c r="P43" s="123">
        <f>SUM(G43:O43)</f>
        <v>336684556.39999998</v>
      </c>
    </row>
    <row r="44" spans="1:17" ht="24.95" customHeight="1" thickBot="1" x14ac:dyDescent="0.25">
      <c r="A44" s="110"/>
      <c r="B44" s="167" t="s">
        <v>45</v>
      </c>
      <c r="C44" s="266" t="s">
        <v>120</v>
      </c>
      <c r="D44" s="266"/>
      <c r="E44" s="266"/>
      <c r="F44" s="291"/>
      <c r="G44" s="143">
        <f>SUM(G38:G43)</f>
        <v>499464631.80000001</v>
      </c>
      <c r="H44" s="143">
        <f t="shared" ref="H44:N44" si="2">SUM(H38:H43)</f>
        <v>282386047.30000001</v>
      </c>
      <c r="I44" s="143">
        <f t="shared" si="2"/>
        <v>32521742.5</v>
      </c>
      <c r="J44" s="143">
        <f t="shared" si="2"/>
        <v>4570631.2</v>
      </c>
      <c r="K44" s="143">
        <f t="shared" si="2"/>
        <v>26863150.399999999</v>
      </c>
      <c r="L44" s="143">
        <f t="shared" si="2"/>
        <v>943501.1</v>
      </c>
      <c r="M44" s="143">
        <f t="shared" si="2"/>
        <v>244052</v>
      </c>
      <c r="N44" s="143">
        <f t="shared" si="2"/>
        <v>0</v>
      </c>
      <c r="O44" s="138"/>
      <c r="P44" s="143">
        <f>SUM(P38:P43)</f>
        <v>846993756.29999995</v>
      </c>
    </row>
    <row r="45" spans="1:17" ht="24.95" customHeight="1" thickBot="1" x14ac:dyDescent="0.25">
      <c r="A45" s="110"/>
      <c r="B45" s="167" t="s">
        <v>46</v>
      </c>
      <c r="C45" s="266" t="s">
        <v>67</v>
      </c>
      <c r="D45" s="266"/>
      <c r="E45" s="266"/>
      <c r="F45" s="266"/>
      <c r="G45" s="165">
        <f>IF(G44='CSS '!F56,'CSS '!F56,"ERROR")</f>
        <v>499464631.79999995</v>
      </c>
      <c r="H45" s="165">
        <f>IF(H44=PEI!F49,PEI!F49,"ERROR")</f>
        <v>282386047.30000001</v>
      </c>
      <c r="I45" s="165">
        <f>IF(I44=INN!F36,INN!F36,"ERROR")</f>
        <v>32521742.5</v>
      </c>
      <c r="J45" s="165">
        <f>IF(J44=WET!F15,WET!F15,"ERROR")</f>
        <v>4570631.2</v>
      </c>
      <c r="K45" s="165">
        <f>IF(K44=CFTN!F40,CFTN!F40,"ERROR")</f>
        <v>26863150.399999999</v>
      </c>
      <c r="L45" s="165">
        <f>IF(L44='Other MHSA Funds'!F7,'Other MHSA Funds'!F7,"ERROR")</f>
        <v>943501.1</v>
      </c>
      <c r="M45" s="165">
        <f>IF(M44='Other MHSA Funds'!F9,'Other MHSA Funds'!F9,"ERROR")</f>
        <v>244052</v>
      </c>
      <c r="N45" s="165">
        <f>IF('RER Summary'!N44='Other MHSA Funds'!F11,'Other MHSA Funds'!F11,"ERROR")</f>
        <v>0</v>
      </c>
      <c r="O45" s="139"/>
      <c r="P45" s="165">
        <f>SUM(G45:O45)</f>
        <v>846993756.29999995</v>
      </c>
    </row>
    <row r="46" spans="1:17" s="6" customFormat="1" x14ac:dyDescent="0.2">
      <c r="A46" s="78"/>
      <c r="B46" s="78"/>
      <c r="C46" s="78"/>
      <c r="D46" s="78"/>
      <c r="E46" s="78"/>
      <c r="F46" s="78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7" s="6" customFormat="1" x14ac:dyDescent="0.2">
      <c r="A47" s="407" t="s">
        <v>140</v>
      </c>
      <c r="B47" s="413"/>
      <c r="C47" s="413"/>
      <c r="D47" s="413"/>
      <c r="E47" s="413"/>
      <c r="F47" s="413"/>
      <c r="G47" s="413"/>
      <c r="H47" s="413"/>
      <c r="I47" s="413"/>
      <c r="J47" s="413"/>
      <c r="K47" s="55"/>
      <c r="L47" s="55"/>
      <c r="M47" s="55"/>
      <c r="N47" s="55"/>
      <c r="O47" s="55"/>
      <c r="P47" s="55"/>
    </row>
    <row r="48" spans="1:17" s="6" customFormat="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1:119" ht="24.95" customHeight="1" x14ac:dyDescent="0.25">
      <c r="A49" s="168">
        <v>4</v>
      </c>
      <c r="B49" s="215" t="s">
        <v>246</v>
      </c>
      <c r="C49" s="216"/>
      <c r="D49" s="216"/>
      <c r="E49" s="216"/>
      <c r="F49" s="217"/>
      <c r="G49" s="122"/>
      <c r="H49" s="122"/>
      <c r="I49" s="122"/>
      <c r="J49" s="122"/>
      <c r="K49" s="122"/>
      <c r="L49" s="122"/>
      <c r="M49" s="122"/>
      <c r="N49" s="122"/>
      <c r="O49" s="122"/>
      <c r="P49" s="122"/>
    </row>
    <row r="50" spans="1:119" ht="24.95" customHeight="1" x14ac:dyDescent="0.25">
      <c r="A50" s="108"/>
      <c r="B50" s="177"/>
      <c r="C50" s="178" t="s">
        <v>42</v>
      </c>
      <c r="D50" s="402" t="s">
        <v>76</v>
      </c>
      <c r="E50" s="402"/>
      <c r="F50" s="403"/>
      <c r="G50" s="123">
        <f>-J50-K50-O50</f>
        <v>0</v>
      </c>
      <c r="H50" s="125"/>
      <c r="I50" s="125"/>
      <c r="J50" s="123"/>
      <c r="K50" s="123"/>
      <c r="L50" s="125"/>
      <c r="M50" s="125"/>
      <c r="N50" s="125"/>
      <c r="O50" s="123"/>
      <c r="P50" s="123">
        <f>G50+J50+K50+O50</f>
        <v>0</v>
      </c>
      <c r="Q50" s="15"/>
    </row>
    <row r="51" spans="1:119" ht="24.95" customHeight="1" x14ac:dyDescent="0.25">
      <c r="A51" s="108"/>
      <c r="B51" s="177"/>
      <c r="C51" s="178" t="s">
        <v>43</v>
      </c>
      <c r="D51" s="402" t="s">
        <v>83</v>
      </c>
      <c r="E51" s="402"/>
      <c r="F51" s="403"/>
      <c r="G51" s="123">
        <f>-J51-K51-O51</f>
        <v>0</v>
      </c>
      <c r="H51" s="125"/>
      <c r="I51" s="125"/>
      <c r="J51" s="123"/>
      <c r="K51" s="123"/>
      <c r="L51" s="125"/>
      <c r="M51" s="125"/>
      <c r="N51" s="125"/>
      <c r="O51" s="123"/>
      <c r="P51" s="123">
        <f>G51+J51+K51+O51</f>
        <v>0</v>
      </c>
      <c r="Q51" s="15"/>
    </row>
    <row r="52" spans="1:119" ht="24.95" customHeight="1" x14ac:dyDescent="0.25">
      <c r="A52" s="110"/>
      <c r="B52" s="179"/>
      <c r="C52" s="180" t="s">
        <v>44</v>
      </c>
      <c r="D52" s="404" t="s">
        <v>148</v>
      </c>
      <c r="E52" s="404"/>
      <c r="F52" s="406"/>
      <c r="G52" s="123">
        <f>-J52-K52-O52</f>
        <v>0</v>
      </c>
      <c r="H52" s="140"/>
      <c r="I52" s="140"/>
      <c r="J52" s="123"/>
      <c r="K52" s="123"/>
      <c r="L52" s="140"/>
      <c r="M52" s="140"/>
      <c r="N52" s="140"/>
      <c r="O52" s="123"/>
      <c r="P52" s="181">
        <f>G52+J52+K52+O52</f>
        <v>0</v>
      </c>
      <c r="Q52" s="15"/>
    </row>
    <row r="53" spans="1:119" ht="24.95" customHeight="1" x14ac:dyDescent="0.25">
      <c r="A53" s="85">
        <v>5</v>
      </c>
      <c r="B53" s="208" t="s">
        <v>247</v>
      </c>
      <c r="C53" s="209"/>
      <c r="D53" s="209"/>
      <c r="E53" s="209"/>
      <c r="F53" s="210"/>
      <c r="G53" s="141"/>
      <c r="H53" s="121"/>
      <c r="I53" s="121"/>
      <c r="J53" s="121"/>
      <c r="K53" s="121"/>
      <c r="L53" s="121"/>
      <c r="M53" s="121"/>
      <c r="N53" s="121"/>
      <c r="O53" s="121"/>
      <c r="P53" s="121"/>
      <c r="Q53" s="15"/>
    </row>
    <row r="54" spans="1:119" ht="24.95" customHeight="1" x14ac:dyDescent="0.25">
      <c r="A54" s="58"/>
      <c r="B54" s="101"/>
      <c r="C54" s="51" t="s">
        <v>42</v>
      </c>
      <c r="D54" s="213" t="s">
        <v>66</v>
      </c>
      <c r="E54" s="213"/>
      <c r="F54" s="214"/>
      <c r="G54" s="129"/>
      <c r="H54" s="125"/>
      <c r="I54" s="125"/>
      <c r="J54" s="125"/>
      <c r="K54" s="125"/>
      <c r="L54" s="125"/>
      <c r="M54" s="125"/>
      <c r="N54" s="125"/>
      <c r="O54" s="123"/>
      <c r="P54" s="123">
        <f>O54</f>
        <v>0</v>
      </c>
    </row>
    <row r="55" spans="1:119" ht="24.95" customHeight="1" x14ac:dyDescent="0.25">
      <c r="A55" s="58"/>
      <c r="B55" s="101"/>
      <c r="C55" s="149" t="s">
        <v>43</v>
      </c>
      <c r="D55" s="213" t="s">
        <v>84</v>
      </c>
      <c r="E55" s="213"/>
      <c r="F55" s="214"/>
      <c r="G55" s="129"/>
      <c r="H55" s="125"/>
      <c r="I55" s="125"/>
      <c r="J55" s="123"/>
      <c r="K55" s="125"/>
      <c r="L55" s="125"/>
      <c r="M55" s="125"/>
      <c r="N55" s="125"/>
      <c r="O55" s="125"/>
      <c r="P55" s="123">
        <f t="shared" ref="P55:P64" si="3">SUM(G55:O55)</f>
        <v>0</v>
      </c>
    </row>
    <row r="56" spans="1:119" ht="24.95" customHeight="1" x14ac:dyDescent="0.25">
      <c r="A56" s="58"/>
      <c r="B56" s="101"/>
      <c r="C56" s="149" t="s">
        <v>44</v>
      </c>
      <c r="D56" s="213" t="s">
        <v>72</v>
      </c>
      <c r="E56" s="213"/>
      <c r="F56" s="214"/>
      <c r="G56" s="129"/>
      <c r="H56" s="125"/>
      <c r="I56" s="125"/>
      <c r="J56" s="123"/>
      <c r="K56" s="132"/>
      <c r="L56" s="125"/>
      <c r="M56" s="125"/>
      <c r="N56" s="125"/>
      <c r="O56" s="125"/>
      <c r="P56" s="123">
        <f t="shared" si="3"/>
        <v>0</v>
      </c>
    </row>
    <row r="57" spans="1:119" ht="24.95" customHeight="1" x14ac:dyDescent="0.25">
      <c r="A57" s="58"/>
      <c r="B57" s="101"/>
      <c r="C57" s="51" t="s">
        <v>45</v>
      </c>
      <c r="D57" s="213" t="s">
        <v>73</v>
      </c>
      <c r="E57" s="213"/>
      <c r="F57" s="214"/>
      <c r="G57" s="129"/>
      <c r="H57" s="125"/>
      <c r="I57" s="125"/>
      <c r="J57" s="123"/>
      <c r="K57" s="123"/>
      <c r="L57" s="125"/>
      <c r="M57" s="123"/>
      <c r="N57" s="125"/>
      <c r="O57" s="125"/>
      <c r="P57" s="123">
        <f t="shared" si="3"/>
        <v>0</v>
      </c>
    </row>
    <row r="58" spans="1:119" ht="24.95" customHeight="1" x14ac:dyDescent="0.25">
      <c r="A58" s="58"/>
      <c r="B58" s="101"/>
      <c r="C58" s="51" t="s">
        <v>46</v>
      </c>
      <c r="D58" s="213" t="s">
        <v>74</v>
      </c>
      <c r="E58" s="213"/>
      <c r="F58" s="214"/>
      <c r="G58" s="129"/>
      <c r="H58" s="129"/>
      <c r="I58" s="129"/>
      <c r="J58" s="123"/>
      <c r="K58" s="123"/>
      <c r="L58" s="125"/>
      <c r="M58" s="123"/>
      <c r="N58" s="125"/>
      <c r="O58" s="125"/>
      <c r="P58" s="123">
        <f t="shared" si="3"/>
        <v>0</v>
      </c>
    </row>
    <row r="59" spans="1:119" ht="24.95" customHeight="1" x14ac:dyDescent="0.25">
      <c r="A59" s="58"/>
      <c r="B59" s="101"/>
      <c r="C59" s="51" t="s">
        <v>47</v>
      </c>
      <c r="D59" s="230" t="s">
        <v>75</v>
      </c>
      <c r="E59" s="230"/>
      <c r="F59" s="231"/>
      <c r="G59" s="129"/>
      <c r="H59" s="129"/>
      <c r="I59" s="129"/>
      <c r="J59" s="123"/>
      <c r="K59" s="123"/>
      <c r="L59" s="125"/>
      <c r="M59" s="123"/>
      <c r="N59" s="125"/>
      <c r="O59" s="125"/>
      <c r="P59" s="123">
        <f t="shared" si="3"/>
        <v>0</v>
      </c>
    </row>
    <row r="60" spans="1:119" s="17" customFormat="1" ht="24.95" customHeight="1" x14ac:dyDescent="0.25">
      <c r="A60" s="58"/>
      <c r="B60" s="101"/>
      <c r="C60" s="51" t="s">
        <v>48</v>
      </c>
      <c r="D60" s="394" t="s">
        <v>76</v>
      </c>
      <c r="E60" s="394"/>
      <c r="F60" s="395"/>
      <c r="G60" s="142"/>
      <c r="H60" s="142"/>
      <c r="I60" s="142">
        <v>0</v>
      </c>
      <c r="J60" s="142"/>
      <c r="K60" s="142"/>
      <c r="L60" s="142"/>
      <c r="M60" s="142"/>
      <c r="N60" s="142"/>
      <c r="O60" s="134"/>
      <c r="P60" s="123">
        <f t="shared" si="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4.95" customHeight="1" x14ac:dyDescent="0.25">
      <c r="A61" s="58"/>
      <c r="B61" s="101"/>
      <c r="C61" s="51" t="s">
        <v>49</v>
      </c>
      <c r="D61" s="394" t="s">
        <v>88</v>
      </c>
      <c r="E61" s="394"/>
      <c r="F61" s="395"/>
      <c r="G61" s="142"/>
      <c r="H61" s="127"/>
      <c r="I61" s="127"/>
      <c r="J61" s="133"/>
      <c r="K61" s="133"/>
      <c r="L61" s="134"/>
      <c r="M61" s="134"/>
      <c r="N61" s="134"/>
      <c r="O61" s="134"/>
      <c r="P61" s="123">
        <f t="shared" si="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4.95" customHeight="1" x14ac:dyDescent="0.25">
      <c r="A62" s="58"/>
      <c r="B62" s="101"/>
      <c r="C62" s="51" t="s">
        <v>50</v>
      </c>
      <c r="D62" s="394" t="s">
        <v>114</v>
      </c>
      <c r="E62" s="394"/>
      <c r="F62" s="395"/>
      <c r="G62" s="142"/>
      <c r="H62" s="127"/>
      <c r="I62" s="127"/>
      <c r="J62" s="133"/>
      <c r="K62" s="133"/>
      <c r="L62" s="134"/>
      <c r="M62" s="134"/>
      <c r="N62" s="134"/>
      <c r="O62" s="134"/>
      <c r="P62" s="123">
        <f t="shared" si="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4.95" customHeight="1" thickBot="1" x14ac:dyDescent="0.25">
      <c r="A63" s="58"/>
      <c r="B63" s="58"/>
      <c r="C63" s="149" t="s">
        <v>51</v>
      </c>
      <c r="D63" s="402" t="s">
        <v>106</v>
      </c>
      <c r="E63" s="402"/>
      <c r="F63" s="403"/>
      <c r="G63" s="143"/>
      <c r="H63" s="127"/>
      <c r="I63" s="127"/>
      <c r="J63" s="127"/>
      <c r="K63" s="127"/>
      <c r="L63" s="127"/>
      <c r="M63" s="127"/>
      <c r="N63" s="127"/>
      <c r="O63" s="134"/>
      <c r="P63" s="127">
        <f t="shared" si="3"/>
        <v>0</v>
      </c>
    </row>
    <row r="64" spans="1:119" ht="24.95" customHeight="1" thickBot="1" x14ac:dyDescent="0.25">
      <c r="A64" s="167"/>
      <c r="B64" s="58" t="s">
        <v>61</v>
      </c>
      <c r="C64" s="149" t="s">
        <v>87</v>
      </c>
      <c r="D64" s="51"/>
      <c r="E64" s="51"/>
      <c r="F64" s="51"/>
      <c r="G64" s="165">
        <f>SUM(G60:G63)</f>
        <v>0</v>
      </c>
      <c r="H64" s="165">
        <f>SUM(H60:H63)</f>
        <v>0</v>
      </c>
      <c r="I64" s="165">
        <f>SUM(I60:I63)</f>
        <v>0</v>
      </c>
      <c r="J64" s="165">
        <f>SUM(J55:J63)</f>
        <v>0</v>
      </c>
      <c r="K64" s="165">
        <f>SUM(K56:K63)</f>
        <v>0</v>
      </c>
      <c r="L64" s="165">
        <f>SUM(L60:L63)</f>
        <v>0</v>
      </c>
      <c r="M64" s="165">
        <f>SUM(M57:M63)</f>
        <v>0</v>
      </c>
      <c r="N64" s="165">
        <f>SUM(N60:N63)</f>
        <v>0</v>
      </c>
      <c r="O64" s="165">
        <f>O54</f>
        <v>0</v>
      </c>
      <c r="P64" s="165">
        <f t="shared" si="3"/>
        <v>0</v>
      </c>
    </row>
    <row r="65" spans="1:119" ht="24.95" customHeight="1" x14ac:dyDescent="0.25">
      <c r="A65" s="85">
        <v>6</v>
      </c>
      <c r="B65" s="208" t="s">
        <v>248</v>
      </c>
      <c r="C65" s="209"/>
      <c r="D65" s="209"/>
      <c r="E65" s="209"/>
      <c r="F65" s="210"/>
      <c r="G65" s="128"/>
      <c r="H65" s="122"/>
      <c r="I65" s="122"/>
      <c r="J65" s="122"/>
      <c r="K65" s="122"/>
      <c r="L65" s="122"/>
      <c r="M65" s="122"/>
      <c r="N65" s="122"/>
      <c r="O65" s="144"/>
      <c r="P65" s="122"/>
      <c r="Q65" s="15"/>
    </row>
    <row r="66" spans="1:119" ht="24.95" customHeight="1" x14ac:dyDescent="0.25">
      <c r="A66" s="58"/>
      <c r="B66" s="101"/>
      <c r="C66" s="51" t="s">
        <v>42</v>
      </c>
      <c r="D66" s="213" t="s">
        <v>91</v>
      </c>
      <c r="E66" s="213"/>
      <c r="F66" s="214"/>
      <c r="G66" s="129"/>
      <c r="H66" s="125"/>
      <c r="I66" s="125"/>
      <c r="J66" s="125"/>
      <c r="K66" s="125"/>
      <c r="L66" s="125"/>
      <c r="M66" s="125"/>
      <c r="N66" s="125"/>
      <c r="O66" s="181">
        <f>SUM(O22+O27+O50+O51+O52+O64)</f>
        <v>192053984</v>
      </c>
      <c r="P66" s="123">
        <f>O66</f>
        <v>192053984</v>
      </c>
    </row>
    <row r="67" spans="1:119" ht="24.95" customHeight="1" x14ac:dyDescent="0.25">
      <c r="A67" s="58"/>
      <c r="B67" s="101"/>
      <c r="C67" s="149" t="s">
        <v>43</v>
      </c>
      <c r="D67" s="213" t="s">
        <v>84</v>
      </c>
      <c r="E67" s="213"/>
      <c r="F67" s="214"/>
      <c r="G67" s="129"/>
      <c r="H67" s="125"/>
      <c r="I67" s="125"/>
      <c r="J67" s="123">
        <f>J14-J30+J55</f>
        <v>7139710.7999999998</v>
      </c>
      <c r="K67" s="125"/>
      <c r="L67" s="125"/>
      <c r="M67" s="125"/>
      <c r="N67" s="125"/>
      <c r="O67" s="125"/>
      <c r="P67" s="123">
        <f t="shared" ref="P67:P76" si="4">SUM(G67:O67)</f>
        <v>7139710.7999999998</v>
      </c>
    </row>
    <row r="68" spans="1:119" ht="24.95" customHeight="1" x14ac:dyDescent="0.25">
      <c r="A68" s="58"/>
      <c r="B68" s="101"/>
      <c r="C68" s="149" t="s">
        <v>44</v>
      </c>
      <c r="D68" s="213" t="s">
        <v>72</v>
      </c>
      <c r="E68" s="213"/>
      <c r="F68" s="214"/>
      <c r="G68" s="129"/>
      <c r="H68" s="125"/>
      <c r="I68" s="125"/>
      <c r="J68" s="123">
        <f>J15-J31+J56</f>
        <v>31370800</v>
      </c>
      <c r="K68" s="123">
        <f>K15-K31+K56</f>
        <v>31200307.800000001</v>
      </c>
      <c r="L68" s="125"/>
      <c r="M68" s="125"/>
      <c r="N68" s="125"/>
      <c r="O68" s="125"/>
      <c r="P68" s="123">
        <f t="shared" si="4"/>
        <v>62571107.799999997</v>
      </c>
    </row>
    <row r="69" spans="1:119" ht="24.95" customHeight="1" x14ac:dyDescent="0.25">
      <c r="A69" s="58"/>
      <c r="B69" s="101"/>
      <c r="C69" s="51" t="s">
        <v>45</v>
      </c>
      <c r="D69" s="213" t="s">
        <v>73</v>
      </c>
      <c r="E69" s="213"/>
      <c r="F69" s="214"/>
      <c r="G69" s="142">
        <f t="shared" ref="G69:I71" si="5">G16</f>
        <v>0</v>
      </c>
      <c r="H69" s="142">
        <f t="shared" si="5"/>
        <v>0</v>
      </c>
      <c r="I69" s="142">
        <f t="shared" si="5"/>
        <v>13629032</v>
      </c>
      <c r="J69" s="123">
        <f>J16-J32+J57</f>
        <v>0</v>
      </c>
      <c r="K69" s="123">
        <f>K16-K32+K57</f>
        <v>31847439</v>
      </c>
      <c r="L69" s="142">
        <f>L16</f>
        <v>0</v>
      </c>
      <c r="M69" s="123">
        <f>M16-M32+M57</f>
        <v>0</v>
      </c>
      <c r="N69" s="142">
        <f>N16</f>
        <v>0</v>
      </c>
      <c r="O69" s="125"/>
      <c r="P69" s="123">
        <f t="shared" si="4"/>
        <v>45476471</v>
      </c>
    </row>
    <row r="70" spans="1:119" ht="24.95" customHeight="1" x14ac:dyDescent="0.25">
      <c r="A70" s="58"/>
      <c r="B70" s="101"/>
      <c r="C70" s="51" t="s">
        <v>46</v>
      </c>
      <c r="D70" s="213" t="s">
        <v>74</v>
      </c>
      <c r="E70" s="213"/>
      <c r="F70" s="214"/>
      <c r="G70" s="142">
        <f t="shared" si="5"/>
        <v>0</v>
      </c>
      <c r="H70" s="142">
        <f t="shared" si="5"/>
        <v>0</v>
      </c>
      <c r="I70" s="142">
        <f t="shared" si="5"/>
        <v>20294900</v>
      </c>
      <c r="J70" s="123">
        <f>J17-J33+J58</f>
        <v>0</v>
      </c>
      <c r="K70" s="123">
        <f>K17-K33+K58</f>
        <v>0</v>
      </c>
      <c r="L70" s="142">
        <f>L17</f>
        <v>0</v>
      </c>
      <c r="M70" s="123">
        <f>M17-M33+M58</f>
        <v>0</v>
      </c>
      <c r="N70" s="142">
        <f>N17</f>
        <v>0</v>
      </c>
      <c r="O70" s="125"/>
      <c r="P70" s="123">
        <f t="shared" si="4"/>
        <v>20294900</v>
      </c>
    </row>
    <row r="71" spans="1:119" ht="24.95" customHeight="1" x14ac:dyDescent="0.25">
      <c r="A71" s="58"/>
      <c r="B71" s="101"/>
      <c r="C71" s="51" t="s">
        <v>47</v>
      </c>
      <c r="D71" s="230" t="s">
        <v>75</v>
      </c>
      <c r="E71" s="230"/>
      <c r="F71" s="231"/>
      <c r="G71" s="142">
        <f t="shared" si="5"/>
        <v>0</v>
      </c>
      <c r="H71" s="142">
        <f t="shared" si="5"/>
        <v>0</v>
      </c>
      <c r="I71" s="142">
        <f t="shared" si="5"/>
        <v>14185061</v>
      </c>
      <c r="J71" s="123">
        <f>J18-J34+J59</f>
        <v>0</v>
      </c>
      <c r="K71" s="123">
        <f>K18-K34+K59</f>
        <v>0</v>
      </c>
      <c r="L71" s="142">
        <f>L18</f>
        <v>0</v>
      </c>
      <c r="M71" s="123">
        <f>M18-M34+M59</f>
        <v>0</v>
      </c>
      <c r="N71" s="142">
        <f>N18</f>
        <v>0</v>
      </c>
      <c r="O71" s="125"/>
      <c r="P71" s="123">
        <f t="shared" si="4"/>
        <v>14185061</v>
      </c>
    </row>
    <row r="72" spans="1:119" s="17" customFormat="1" ht="24.95" customHeight="1" x14ac:dyDescent="0.25">
      <c r="A72" s="58"/>
      <c r="B72" s="101"/>
      <c r="C72" s="51" t="s">
        <v>48</v>
      </c>
      <c r="D72" s="394" t="s">
        <v>76</v>
      </c>
      <c r="E72" s="394"/>
      <c r="F72" s="395"/>
      <c r="G72" s="142">
        <f>SUM(G19-G35+G50+G60)</f>
        <v>-35622112</v>
      </c>
      <c r="H72" s="142">
        <f>SUM(H19-H35+H60)</f>
        <v>0</v>
      </c>
      <c r="I72" s="142">
        <f>SUM(I19-I35+I60)</f>
        <v>0</v>
      </c>
      <c r="J72" s="123">
        <f>J19-J35+J50+J60</f>
        <v>0</v>
      </c>
      <c r="K72" s="123">
        <f>K19-K35+K50+K60</f>
        <v>0</v>
      </c>
      <c r="L72" s="123">
        <f>L19-L35+L60</f>
        <v>-0.10000000009313226</v>
      </c>
      <c r="M72" s="123">
        <f>M19-M35+M60</f>
        <v>1302522</v>
      </c>
      <c r="N72" s="123">
        <f>N19-N35+N60</f>
        <v>0</v>
      </c>
      <c r="O72" s="134"/>
      <c r="P72" s="123">
        <f t="shared" si="4"/>
        <v>-34319590.100000001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4.95" customHeight="1" x14ac:dyDescent="0.25">
      <c r="A73" s="58"/>
      <c r="B73" s="101"/>
      <c r="C73" s="51" t="s">
        <v>49</v>
      </c>
      <c r="D73" s="394" t="s">
        <v>88</v>
      </c>
      <c r="E73" s="394"/>
      <c r="F73" s="395"/>
      <c r="G73" s="142">
        <f>SUM(G20-G36+G51+G61)</f>
        <v>0</v>
      </c>
      <c r="H73" s="142">
        <f>SUM(H20-H36+H61)</f>
        <v>20012571.400000006</v>
      </c>
      <c r="I73" s="142">
        <f>SUM(I20-I36+I61)</f>
        <v>14154246.000000002</v>
      </c>
      <c r="J73" s="123">
        <f>J20-J36+J51+J61</f>
        <v>0</v>
      </c>
      <c r="K73" s="123">
        <f>K20-K36+K51+K61</f>
        <v>0</v>
      </c>
      <c r="L73" s="125"/>
      <c r="M73" s="125"/>
      <c r="N73" s="125"/>
      <c r="O73" s="134"/>
      <c r="P73" s="123">
        <f t="shared" si="4"/>
        <v>34166817.400000006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4.95" customHeight="1" x14ac:dyDescent="0.25">
      <c r="A74" s="58"/>
      <c r="B74" s="101"/>
      <c r="C74" s="51" t="s">
        <v>50</v>
      </c>
      <c r="D74" s="394" t="s">
        <v>114</v>
      </c>
      <c r="E74" s="394"/>
      <c r="F74" s="395"/>
      <c r="G74" s="142">
        <f>SUM(G24+G25-G37+G52+G62)</f>
        <v>110859065.5</v>
      </c>
      <c r="H74" s="142">
        <f>SUM(H24+H25-H37+H62)</f>
        <v>67074265.700000003</v>
      </c>
      <c r="I74" s="142">
        <f>SUM(I25-I37+I62)</f>
        <v>17651123</v>
      </c>
      <c r="J74" s="123">
        <f>J52+J62</f>
        <v>0</v>
      </c>
      <c r="K74" s="123">
        <f>K52+K62</f>
        <v>0</v>
      </c>
      <c r="L74" s="125"/>
      <c r="M74" s="125"/>
      <c r="N74" s="125"/>
      <c r="O74" s="134"/>
      <c r="P74" s="123">
        <f t="shared" si="4"/>
        <v>195584454.19999999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4.95" customHeight="1" thickBot="1" x14ac:dyDescent="0.25">
      <c r="A75" s="164"/>
      <c r="B75" s="58"/>
      <c r="C75" s="149" t="s">
        <v>51</v>
      </c>
      <c r="D75" s="402" t="s">
        <v>106</v>
      </c>
      <c r="E75" s="402"/>
      <c r="F75" s="403"/>
      <c r="G75" s="143">
        <f t="shared" ref="G75:N75" si="6">G21+G26-G39+G63</f>
        <v>3438616.6</v>
      </c>
      <c r="H75" s="143">
        <f t="shared" si="6"/>
        <v>7690328</v>
      </c>
      <c r="I75" s="143">
        <f t="shared" si="6"/>
        <v>2859078.4</v>
      </c>
      <c r="J75" s="143">
        <f t="shared" si="6"/>
        <v>1628740.6</v>
      </c>
      <c r="K75" s="143">
        <f t="shared" si="6"/>
        <v>3836469.6</v>
      </c>
      <c r="L75" s="143">
        <f t="shared" si="6"/>
        <v>0.10000000009313226</v>
      </c>
      <c r="M75" s="143">
        <f t="shared" si="6"/>
        <v>86812.7</v>
      </c>
      <c r="N75" s="143">
        <f t="shared" si="6"/>
        <v>0</v>
      </c>
      <c r="O75" s="134"/>
      <c r="P75" s="127">
        <f t="shared" si="4"/>
        <v>19540046</v>
      </c>
    </row>
    <row r="76" spans="1:119" ht="24.95" customHeight="1" thickBot="1" x14ac:dyDescent="0.25">
      <c r="A76" s="167"/>
      <c r="B76" s="167" t="s">
        <v>61</v>
      </c>
      <c r="C76" s="182" t="s">
        <v>87</v>
      </c>
      <c r="D76" s="183"/>
      <c r="E76" s="183"/>
      <c r="F76" s="183"/>
      <c r="G76" s="165">
        <f>SUM(G69:G75)</f>
        <v>78675570.099999994</v>
      </c>
      <c r="H76" s="165">
        <f>SUM(H69:H75)</f>
        <v>94777165.100000009</v>
      </c>
      <c r="I76" s="165">
        <f>SUM(I69:I75)</f>
        <v>82773440.400000006</v>
      </c>
      <c r="J76" s="165">
        <f>SUM(J67:J75)</f>
        <v>40139251.399999999</v>
      </c>
      <c r="K76" s="165">
        <f>SUM(K68:K75)</f>
        <v>66884216.399999999</v>
      </c>
      <c r="L76" s="165">
        <f>SUM(L69:L75)</f>
        <v>0</v>
      </c>
      <c r="M76" s="165">
        <f>SUM(M69:M75)</f>
        <v>1389334.7</v>
      </c>
      <c r="N76" s="165">
        <f>SUM(N69:N75)</f>
        <v>0</v>
      </c>
      <c r="O76" s="165">
        <f>O66</f>
        <v>192053984</v>
      </c>
      <c r="P76" s="165">
        <f t="shared" si="4"/>
        <v>556692962.0999999</v>
      </c>
    </row>
    <row r="77" spans="1:119" ht="24.95" customHeight="1" x14ac:dyDescent="0.2">
      <c r="A77" s="78"/>
      <c r="B77" s="78"/>
      <c r="C77" s="124"/>
      <c r="D77" s="78"/>
      <c r="E77" s="78"/>
      <c r="F77" s="78"/>
      <c r="G77" s="145"/>
      <c r="H77" s="145"/>
      <c r="I77" s="145"/>
      <c r="J77" s="145"/>
      <c r="K77" s="145"/>
      <c r="L77" s="145"/>
      <c r="M77" s="145"/>
      <c r="N77" s="145"/>
      <c r="O77" s="145"/>
      <c r="P77" s="145"/>
    </row>
    <row r="78" spans="1:119" ht="24.95" customHeight="1" x14ac:dyDescent="0.2">
      <c r="A78" s="124"/>
      <c r="B78" s="124"/>
      <c r="C78" s="124"/>
      <c r="D78" s="124"/>
      <c r="E78" s="124"/>
      <c r="F78" s="124"/>
      <c r="G78" s="146"/>
      <c r="H78" s="146"/>
      <c r="I78" s="146"/>
      <c r="J78" s="145"/>
      <c r="K78" s="145"/>
      <c r="L78" s="145"/>
      <c r="M78" s="145"/>
      <c r="N78" s="145"/>
      <c r="O78" s="145" t="s">
        <v>123</v>
      </c>
      <c r="P78" s="145"/>
    </row>
    <row r="79" spans="1:119" s="6" customFormat="1" ht="24.95" customHeight="1" x14ac:dyDescent="0.25">
      <c r="A79" s="397" t="s">
        <v>249</v>
      </c>
      <c r="B79" s="398"/>
      <c r="C79" s="399"/>
      <c r="D79" s="187"/>
      <c r="E79" s="187"/>
      <c r="F79" s="55"/>
      <c r="G79" s="55"/>
      <c r="H79" s="148"/>
      <c r="I79" s="148"/>
      <c r="J79" s="124"/>
      <c r="K79" s="194"/>
      <c r="L79" s="194"/>
      <c r="M79" s="401" t="s">
        <v>95</v>
      </c>
      <c r="N79" s="401"/>
      <c r="O79" s="401"/>
      <c r="P79" s="401"/>
      <c r="Q79" s="16"/>
    </row>
    <row r="80" spans="1:119" ht="29.25" customHeight="1" x14ac:dyDescent="0.2">
      <c r="A80" s="400" t="s">
        <v>130</v>
      </c>
      <c r="B80" s="400"/>
      <c r="C80" s="400"/>
      <c r="D80" s="400"/>
      <c r="E80" s="400"/>
      <c r="F80" s="400"/>
      <c r="G80" s="184" t="s">
        <v>94</v>
      </c>
      <c r="H80" s="150"/>
      <c r="I80" s="150"/>
      <c r="J80" s="151"/>
      <c r="K80" s="152"/>
      <c r="L80" s="152"/>
      <c r="M80" s="185" t="s">
        <v>96</v>
      </c>
      <c r="N80" s="396" t="s">
        <v>162</v>
      </c>
      <c r="O80" s="396"/>
      <c r="P80" s="396"/>
      <c r="Q80" s="19"/>
      <c r="R80" s="19"/>
      <c r="S80" s="20"/>
    </row>
    <row r="81" spans="1:19" ht="24.95" customHeight="1" x14ac:dyDescent="0.2">
      <c r="A81" s="396" t="s">
        <v>129</v>
      </c>
      <c r="B81" s="396"/>
      <c r="C81" s="396"/>
      <c r="D81" s="396"/>
      <c r="E81" s="396"/>
      <c r="F81" s="396"/>
      <c r="G81" s="153">
        <v>296110232</v>
      </c>
      <c r="H81" s="154"/>
      <c r="I81" s="154"/>
      <c r="J81" s="145"/>
      <c r="K81" s="155"/>
      <c r="L81" s="155"/>
      <c r="M81" s="185" t="s">
        <v>97</v>
      </c>
      <c r="N81" s="396" t="s">
        <v>163</v>
      </c>
      <c r="O81" s="396"/>
      <c r="P81" s="396"/>
      <c r="Q81" s="18"/>
      <c r="R81" s="18"/>
      <c r="S81" s="20"/>
    </row>
    <row r="82" spans="1:19" ht="24.95" customHeight="1" x14ac:dyDescent="0.2">
      <c r="A82" s="155"/>
      <c r="B82" s="155"/>
      <c r="C82" s="155"/>
      <c r="D82" s="155"/>
      <c r="E82" s="155"/>
      <c r="F82" s="155"/>
      <c r="G82" s="145"/>
      <c r="H82" s="145"/>
      <c r="I82" s="145"/>
      <c r="J82" s="145"/>
      <c r="K82" s="156"/>
      <c r="L82" s="156"/>
      <c r="M82" s="185" t="s">
        <v>98</v>
      </c>
      <c r="N82" s="396" t="s">
        <v>164</v>
      </c>
      <c r="O82" s="396"/>
      <c r="P82" s="396"/>
      <c r="Q82" s="18"/>
      <c r="R82" s="18"/>
      <c r="S82" s="20"/>
    </row>
    <row r="83" spans="1:19" ht="24.95" customHeight="1" x14ac:dyDescent="0.2">
      <c r="A83" s="156"/>
      <c r="B83" s="156"/>
      <c r="C83" s="156"/>
      <c r="D83" s="156"/>
      <c r="E83" s="156"/>
      <c r="F83" s="156"/>
      <c r="G83" s="145"/>
      <c r="H83" s="145"/>
      <c r="I83" s="145"/>
      <c r="J83" s="145"/>
      <c r="K83" s="156"/>
      <c r="L83" s="156"/>
      <c r="M83" s="185" t="s">
        <v>99</v>
      </c>
      <c r="N83" s="396" t="s">
        <v>165</v>
      </c>
      <c r="O83" s="396"/>
      <c r="P83" s="396"/>
      <c r="Q83" s="18"/>
      <c r="R83" s="18"/>
      <c r="S83" s="20"/>
    </row>
    <row r="84" spans="1:19" s="6" customFormat="1" hidden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149"/>
      <c r="N84" s="149"/>
      <c r="O84" s="149"/>
      <c r="P84" s="149"/>
      <c r="Q84" s="20"/>
      <c r="R84" s="20"/>
      <c r="S84" s="20"/>
    </row>
    <row r="85" spans="1:19" s="6" customFormat="1" hidden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149"/>
      <c r="N85" s="149"/>
      <c r="O85" s="149"/>
      <c r="P85" s="149"/>
      <c r="Q85" s="20"/>
      <c r="R85" s="20"/>
      <c r="S85" s="20"/>
    </row>
    <row r="86" spans="1:19" s="6" customFormat="1" hidden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149"/>
      <c r="N86" s="149"/>
      <c r="O86" s="149"/>
      <c r="P86" s="149"/>
    </row>
    <row r="87" spans="1:19" s="6" customFormat="1" hidden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9" s="6" customFormat="1" hidden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9" s="6" customFormat="1" hidden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9" s="6" customFormat="1" hidden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9" s="6" customFormat="1" hidden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9" s="6" customFormat="1" hidden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9" s="6" customFormat="1" hidden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9" s="6" customFormat="1" hidden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9" s="6" customFormat="1" hidden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9" s="6" customFormat="1" hidden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s="6" customFormat="1" hidden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s="6" customFormat="1" hidden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s="6" customFormat="1" hidden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s="6" customFormat="1" hidden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s="6" customFormat="1" hidden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s="6" customFormat="1" hidden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s="6" customFormat="1" hidden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s="6" customFormat="1" hidden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s="6" customFormat="1" hidden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s="6" customFormat="1" hidden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s="6" customFormat="1" hidden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s="6" customFormat="1" hidden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 s="6" customFormat="1" hidden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1:16" s="6" customFormat="1" hidden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1:16" s="6" customFormat="1" hidden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1:16" s="6" customFormat="1" hidden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 s="6" customFormat="1" hidden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1:16" s="6" customFormat="1" hidden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1:16" s="6" customFormat="1" hidden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1:16" s="6" customFormat="1" hidden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1:16" s="6" customFormat="1" hidden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1:16" s="6" customFormat="1" hidden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1:16" s="6" customFormat="1" hidden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 s="6" customFormat="1" hidden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s="6" customFormat="1" hidden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1:16" s="6" customFormat="1" hidden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1:16" s="6" customFormat="1" hidden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1:16" s="6" customFormat="1" hidden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1:16" s="6" customFormat="1" hidden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1:16" s="6" customFormat="1" hidden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1:16" s="6" customFormat="1" hidden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16" s="6" customFormat="1" hidden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1:16" s="6" customFormat="1" hidden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1:16" s="6" customFormat="1" hidden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1:16" s="6" customFormat="1" hidden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1:16" s="6" customFormat="1" hidden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1:16" s="6" customFormat="1" hidden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1:16" s="6" customFormat="1" hidden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1:16" s="6" customFormat="1" hidden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1:16" s="6" customFormat="1" hidden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1:16" s="6" customFormat="1" hidden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1:16" s="6" customFormat="1" hidden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1:16" s="6" customFormat="1" hidden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1:16" s="6" customFormat="1" hidden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spans="1:16" s="6" customFormat="1" hidden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1:16" s="6" customFormat="1" hidden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spans="1:16" s="6" customFormat="1" hidden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spans="1:16" s="6" customFormat="1" hidden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1:16" s="6" customFormat="1" hidden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spans="1:16" s="6" customFormat="1" hidden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spans="1:16" s="6" customFormat="1" hidden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spans="1:16" s="6" customFormat="1" hidden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spans="1:16" s="6" customFormat="1" hidden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1:16" s="6" customFormat="1" hidden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spans="1:16" s="6" customFormat="1" hidden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spans="1:16" s="6" customFormat="1" hidden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1:16" s="6" customFormat="1" hidden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1:16" s="6" customFormat="1" hidden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1:16" s="6" customFormat="1" hidden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spans="1:16" s="6" customFormat="1" hidden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spans="1:16" s="6" customFormat="1" hidden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spans="1:16" s="6" customFormat="1" hidden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spans="1:16" s="6" customFormat="1" hidden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1:16" s="6" customFormat="1" hidden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spans="1:16" s="6" customFormat="1" hidden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spans="1:16" s="6" customFormat="1" hidden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spans="1:16" s="6" customFormat="1" hidden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spans="1:16" s="6" customFormat="1" hidden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  <row r="165" spans="1:16" s="6" customFormat="1" hidden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6" spans="1:16" s="6" customFormat="1" hidden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</row>
    <row r="167" spans="1:16" s="6" customFormat="1" hidden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spans="1:16" s="6" customFormat="1" hidden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</row>
    <row r="169" spans="1:16" s="6" customFormat="1" hidden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 s="6" customFormat="1" hidden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</row>
    <row r="171" spans="1:16" s="6" customFormat="1" hidden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2" spans="1:16" s="6" customFormat="1" hidden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</row>
    <row r="173" spans="1:16" s="6" customFormat="1" hidden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</row>
    <row r="174" spans="1:16" s="6" customFormat="1" hidden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</row>
    <row r="175" spans="1:16" s="6" customFormat="1" hidden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</row>
    <row r="176" spans="1:16" s="6" customFormat="1" hidden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</row>
    <row r="177" spans="1:16" s="6" customFormat="1" hidden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</row>
    <row r="178" spans="1:16" s="6" customFormat="1" hidden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</row>
    <row r="179" spans="1:16" s="6" customFormat="1" hidden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</row>
    <row r="180" spans="1:16" s="6" customFormat="1" hidden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</row>
    <row r="181" spans="1:16" s="6" customFormat="1" hidden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</row>
    <row r="182" spans="1:16" s="6" customFormat="1" hidden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</row>
    <row r="183" spans="1:16" s="6" customFormat="1" hidden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</row>
    <row r="184" spans="1:16" s="6" customFormat="1" hidden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</row>
    <row r="185" spans="1:16" s="6" customFormat="1" hidden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</row>
    <row r="186" spans="1:16" s="6" customFormat="1" hidden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 s="6" customFormat="1" hidden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</row>
    <row r="188" spans="1:16" s="6" customFormat="1" hidden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</row>
    <row r="189" spans="1:16" s="6" customFormat="1" hidden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</row>
    <row r="190" spans="1:16" s="6" customFormat="1" hidden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</row>
    <row r="191" spans="1:16" s="6" customFormat="1" hidden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</row>
    <row r="192" spans="1:16" s="6" customFormat="1" hidden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</row>
    <row r="193" spans="1:16" s="6" customFormat="1" hidden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</row>
    <row r="194" spans="1:16" s="6" customFormat="1" hidden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</row>
    <row r="195" spans="1:16" s="6" customFormat="1" hidden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</row>
    <row r="196" spans="1:16" s="6" customFormat="1" hidden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</row>
    <row r="197" spans="1:16" s="6" customFormat="1" hidden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</row>
    <row r="198" spans="1:16" s="6" customFormat="1" hidden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</row>
    <row r="199" spans="1:16" s="6" customFormat="1" hidden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</row>
    <row r="200" spans="1:16" s="6" customFormat="1" hidden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</row>
    <row r="201" spans="1:16" s="6" customFormat="1" hidden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</row>
    <row r="202" spans="1:16" s="6" customFormat="1" hidden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spans="1:16" s="6" customFormat="1" hidden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</row>
    <row r="204" spans="1:16" s="6" customFormat="1" hidden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</row>
    <row r="205" spans="1:16" s="6" customFormat="1" hidden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</row>
    <row r="206" spans="1:16" s="6" customFormat="1" hidden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</row>
    <row r="207" spans="1:16" s="6" customFormat="1" hidden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</row>
    <row r="208" spans="1:16" s="6" customFormat="1" hidden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</row>
    <row r="209" spans="1:16" s="6" customFormat="1" hidden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</row>
    <row r="210" spans="1:16" s="6" customFormat="1" hidden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</row>
    <row r="211" spans="1:16" s="6" customFormat="1" hidden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</row>
    <row r="212" spans="1:16" s="6" customFormat="1" hidden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</row>
    <row r="213" spans="1:16" s="6" customFormat="1" hidden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</row>
    <row r="214" spans="1:16" s="6" customFormat="1" hidden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</row>
    <row r="215" spans="1:16" s="6" customFormat="1" hidden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</row>
    <row r="216" spans="1:16" s="6" customFormat="1" hidden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</row>
    <row r="217" spans="1:16" s="6" customFormat="1" hidden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</row>
    <row r="218" spans="1:16" s="6" customFormat="1" hidden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</row>
    <row r="219" spans="1:16" s="6" customFormat="1" hidden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</row>
    <row r="220" spans="1:16" s="6" customFormat="1" hidden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</row>
    <row r="221" spans="1:16" s="6" customFormat="1" hidden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</row>
    <row r="222" spans="1:16" s="6" customFormat="1" hidden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</row>
    <row r="223" spans="1:16" s="6" customFormat="1" hidden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</row>
    <row r="224" spans="1:16" s="6" customFormat="1" hidden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</row>
    <row r="225" spans="1:16" s="6" customFormat="1" hidden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</row>
    <row r="226" spans="1:16" s="6" customFormat="1" hidden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</row>
    <row r="227" spans="1:16" s="6" customFormat="1" hidden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</row>
    <row r="228" spans="1:16" s="6" customFormat="1" hidden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</row>
    <row r="229" spans="1:16" s="6" customFormat="1" hidden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</row>
    <row r="230" spans="1:16" s="6" customFormat="1" hidden="1" x14ac:dyDescent="0.2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</row>
    <row r="231" spans="1:16" s="6" customFormat="1" hidden="1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</row>
    <row r="232" spans="1:16" s="6" customFormat="1" hidden="1" x14ac:dyDescent="0.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</row>
    <row r="233" spans="1:16" s="6" customFormat="1" hidden="1" x14ac:dyDescent="0.2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</row>
    <row r="234" spans="1:16" s="6" customFormat="1" hidden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</row>
    <row r="235" spans="1:16" s="6" customFormat="1" hidden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</row>
    <row r="236" spans="1:16" s="6" customFormat="1" hidden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</row>
    <row r="237" spans="1:16" s="6" customFormat="1" hidden="1" x14ac:dyDescent="0.2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</row>
    <row r="238" spans="1:16" s="6" customFormat="1" hidden="1" x14ac:dyDescent="0.2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</row>
    <row r="239" spans="1:16" s="6" customFormat="1" hidden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</row>
    <row r="240" spans="1:16" s="6" customFormat="1" hidden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</row>
    <row r="241" spans="1:16" s="6" customFormat="1" hidden="1" x14ac:dyDescent="0.2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</row>
    <row r="242" spans="1:16" s="6" customFormat="1" hidden="1" x14ac:dyDescent="0.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</row>
    <row r="243" spans="1:16" s="6" customFormat="1" hidden="1" x14ac:dyDescent="0.2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</row>
    <row r="244" spans="1:16" s="6" customFormat="1" hidden="1" x14ac:dyDescent="0.2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</row>
    <row r="245" spans="1:16" s="6" customFormat="1" hidden="1" x14ac:dyDescent="0.2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</row>
    <row r="246" spans="1:16" s="6" customFormat="1" hidden="1" x14ac:dyDescent="0.2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</row>
    <row r="247" spans="1:16" s="6" customFormat="1" hidden="1" x14ac:dyDescent="0.2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</row>
    <row r="248" spans="1:16" s="6" customFormat="1" hidden="1" x14ac:dyDescent="0.2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</row>
    <row r="249" spans="1:16" s="6" customFormat="1" hidden="1" x14ac:dyDescent="0.2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</row>
    <row r="250" spans="1:16" s="6" customFormat="1" hidden="1" x14ac:dyDescent="0.2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</row>
    <row r="251" spans="1:16" s="6" customFormat="1" hidden="1" x14ac:dyDescent="0.2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</row>
    <row r="252" spans="1:16" s="6" customFormat="1" hidden="1" x14ac:dyDescent="0.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</row>
    <row r="253" spans="1:16" s="6" customFormat="1" hidden="1" x14ac:dyDescent="0.2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</row>
    <row r="254" spans="1:16" s="6" customFormat="1" hidden="1" x14ac:dyDescent="0.2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</row>
    <row r="255" spans="1:16" s="6" customFormat="1" hidden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</row>
    <row r="256" spans="1:16" s="6" customFormat="1" hidden="1" x14ac:dyDescent="0.2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</row>
    <row r="257" spans="1:16" s="6" customFormat="1" hidden="1" x14ac:dyDescent="0.2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</row>
    <row r="258" spans="1:16" s="6" customFormat="1" hidden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</row>
    <row r="259" spans="1:16" s="6" customFormat="1" hidden="1" x14ac:dyDescent="0.2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</row>
    <row r="260" spans="1:16" s="6" customFormat="1" hidden="1" x14ac:dyDescent="0.2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</row>
    <row r="261" spans="1:16" s="6" customFormat="1" hidden="1" x14ac:dyDescent="0.2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</row>
    <row r="262" spans="1:16" s="6" customFormat="1" hidden="1" x14ac:dyDescent="0.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</row>
    <row r="263" spans="1:16" s="6" customFormat="1" hidden="1" x14ac:dyDescent="0.2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</row>
    <row r="264" spans="1:16" s="6" customFormat="1" hidden="1" x14ac:dyDescent="0.2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</row>
    <row r="265" spans="1:16" s="6" customFormat="1" hidden="1" x14ac:dyDescent="0.2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</row>
    <row r="266" spans="1:16" s="6" customFormat="1" hidden="1" x14ac:dyDescent="0.2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</row>
    <row r="267" spans="1:16" s="6" customFormat="1" hidden="1" x14ac:dyDescent="0.2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</row>
    <row r="268" spans="1:16" s="6" customFormat="1" hidden="1" x14ac:dyDescent="0.2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</row>
    <row r="269" spans="1:16" s="6" customFormat="1" hidden="1" x14ac:dyDescent="0.2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</row>
    <row r="270" spans="1:16" s="6" customFormat="1" hidden="1" x14ac:dyDescent="0.2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</row>
    <row r="271" spans="1:16" s="6" customFormat="1" hidden="1" x14ac:dyDescent="0.2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</row>
    <row r="272" spans="1:16" s="6" customFormat="1" hidden="1" x14ac:dyDescent="0.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</row>
    <row r="273" spans="1:16" s="6" customFormat="1" hidden="1" x14ac:dyDescent="0.2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</row>
    <row r="274" spans="1:16" s="6" customFormat="1" hidden="1" x14ac:dyDescent="0.2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</row>
    <row r="275" spans="1:16" s="6" customFormat="1" hidden="1" x14ac:dyDescent="0.2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</row>
    <row r="276" spans="1:16" s="6" customFormat="1" hidden="1" x14ac:dyDescent="0.2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</row>
    <row r="277" spans="1:16" s="6" customFormat="1" hidden="1" x14ac:dyDescent="0.2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</row>
    <row r="278" spans="1:16" s="6" customFormat="1" hidden="1" x14ac:dyDescent="0.2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</row>
    <row r="279" spans="1:16" s="6" customFormat="1" hidden="1" x14ac:dyDescent="0.2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</row>
    <row r="280" spans="1:16" s="6" customFormat="1" hidden="1" x14ac:dyDescent="0.2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</row>
    <row r="281" spans="1:16" s="6" customFormat="1" hidden="1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</row>
    <row r="282" spans="1:16" s="6" customFormat="1" hidden="1" x14ac:dyDescent="0.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</row>
    <row r="283" spans="1:16" s="6" customFormat="1" hidden="1" x14ac:dyDescent="0.2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</row>
    <row r="284" spans="1:16" s="6" customFormat="1" hidden="1" x14ac:dyDescent="0.2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</row>
    <row r="285" spans="1:16" s="6" customFormat="1" hidden="1" x14ac:dyDescent="0.2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</row>
    <row r="286" spans="1:16" s="6" customFormat="1" hidden="1" x14ac:dyDescent="0.2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</row>
    <row r="287" spans="1:16" s="6" customFormat="1" hidden="1" x14ac:dyDescent="0.2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</row>
    <row r="288" spans="1:16" s="6" customFormat="1" hidden="1" x14ac:dyDescent="0.2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</row>
    <row r="289" spans="1:16" s="6" customFormat="1" hidden="1" x14ac:dyDescent="0.2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</row>
    <row r="290" spans="1:16" s="6" customFormat="1" hidden="1" x14ac:dyDescent="0.2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</row>
    <row r="291" spans="1:16" s="6" customFormat="1" hidden="1" x14ac:dyDescent="0.2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</row>
    <row r="292" spans="1:16" s="6" customFormat="1" hidden="1" x14ac:dyDescent="0.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</row>
    <row r="293" spans="1:16" s="6" customFormat="1" hidden="1" x14ac:dyDescent="0.2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</row>
    <row r="294" spans="1:16" s="6" customFormat="1" hidden="1" x14ac:dyDescent="0.2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</row>
    <row r="295" spans="1:16" s="6" customFormat="1" hidden="1" x14ac:dyDescent="0.2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</row>
    <row r="296" spans="1:16" s="6" customFormat="1" hidden="1" x14ac:dyDescent="0.2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</row>
    <row r="297" spans="1:16" s="6" customFormat="1" hidden="1" x14ac:dyDescent="0.2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</row>
    <row r="298" spans="1:16" s="6" customFormat="1" hidden="1" x14ac:dyDescent="0.2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</row>
    <row r="299" spans="1:16" s="6" customFormat="1" hidden="1" x14ac:dyDescent="0.2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</row>
    <row r="300" spans="1:16" s="6" customFormat="1" hidden="1" x14ac:dyDescent="0.2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</row>
    <row r="301" spans="1:16" s="6" customFormat="1" hidden="1" x14ac:dyDescent="0.2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</row>
    <row r="302" spans="1:16" s="6" customFormat="1" hidden="1" x14ac:dyDescent="0.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</row>
    <row r="303" spans="1:16" s="6" customFormat="1" hidden="1" x14ac:dyDescent="0.2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</row>
    <row r="304" spans="1:16" s="6" customFormat="1" hidden="1" x14ac:dyDescent="0.2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</row>
    <row r="305" spans="1:16" s="6" customFormat="1" hidden="1" x14ac:dyDescent="0.2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</row>
    <row r="306" spans="1:16" s="6" customFormat="1" hidden="1" x14ac:dyDescent="0.2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</row>
    <row r="307" spans="1:16" s="6" customFormat="1" hidden="1" x14ac:dyDescent="0.2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</row>
    <row r="308" spans="1:16" s="6" customFormat="1" hidden="1" x14ac:dyDescent="0.2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</row>
    <row r="309" spans="1:16" s="6" customFormat="1" hidden="1" x14ac:dyDescent="0.2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</row>
    <row r="310" spans="1:16" s="6" customFormat="1" hidden="1" x14ac:dyDescent="0.2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</row>
    <row r="311" spans="1:16" s="6" customFormat="1" hidden="1" x14ac:dyDescent="0.2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</row>
    <row r="312" spans="1:16" s="6" customFormat="1" hidden="1" x14ac:dyDescent="0.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</row>
    <row r="313" spans="1:16" s="6" customFormat="1" hidden="1" x14ac:dyDescent="0.2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</row>
    <row r="314" spans="1:16" s="6" customFormat="1" hidden="1" x14ac:dyDescent="0.2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</row>
    <row r="315" spans="1:16" s="6" customFormat="1" hidden="1" x14ac:dyDescent="0.2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</row>
    <row r="316" spans="1:16" s="6" customFormat="1" hidden="1" x14ac:dyDescent="0.2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</row>
    <row r="317" spans="1:16" s="6" customFormat="1" hidden="1" x14ac:dyDescent="0.2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</row>
    <row r="318" spans="1:16" s="6" customFormat="1" hidden="1" x14ac:dyDescent="0.2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</row>
    <row r="319" spans="1:16" s="6" customFormat="1" hidden="1" x14ac:dyDescent="0.2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</row>
    <row r="320" spans="1:16" s="6" customFormat="1" hidden="1" x14ac:dyDescent="0.2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</row>
    <row r="321" spans="1:16" s="6" customFormat="1" hidden="1" x14ac:dyDescent="0.2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</row>
    <row r="322" spans="1:16" s="6" customFormat="1" hidden="1" x14ac:dyDescent="0.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</row>
    <row r="323" spans="1:16" s="6" customFormat="1" hidden="1" x14ac:dyDescent="0.2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</row>
    <row r="324" spans="1:16" s="6" customFormat="1" hidden="1" x14ac:dyDescent="0.2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</row>
    <row r="325" spans="1:16" s="6" customFormat="1" hidden="1" x14ac:dyDescent="0.2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</row>
    <row r="326" spans="1:16" s="6" customFormat="1" hidden="1" x14ac:dyDescent="0.2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</row>
    <row r="327" spans="1:16" s="6" customFormat="1" hidden="1" x14ac:dyDescent="0.2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</row>
    <row r="328" spans="1:16" s="6" customFormat="1" hidden="1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</row>
    <row r="329" spans="1:16" s="6" customFormat="1" hidden="1" x14ac:dyDescent="0.2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</row>
    <row r="330" spans="1:16" s="6" customFormat="1" hidden="1" x14ac:dyDescent="0.2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</row>
    <row r="331" spans="1:16" s="6" customFormat="1" hidden="1" x14ac:dyDescent="0.2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</row>
    <row r="332" spans="1:16" s="6" customFormat="1" hidden="1" x14ac:dyDescent="0.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</row>
    <row r="333" spans="1:16" s="6" customFormat="1" hidden="1" x14ac:dyDescent="0.2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</row>
    <row r="334" spans="1:16" s="6" customFormat="1" hidden="1" x14ac:dyDescent="0.2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</row>
    <row r="335" spans="1:16" s="6" customFormat="1" hidden="1" x14ac:dyDescent="0.2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</row>
    <row r="336" spans="1:16" s="6" customFormat="1" hidden="1" x14ac:dyDescent="0.2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</row>
    <row r="337" spans="1:16" s="6" customFormat="1" hidden="1" x14ac:dyDescent="0.2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</row>
    <row r="338" spans="1:16" s="6" customFormat="1" hidden="1" x14ac:dyDescent="0.2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</row>
    <row r="339" spans="1:16" s="6" customFormat="1" hidden="1" x14ac:dyDescent="0.2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</row>
    <row r="340" spans="1:16" s="6" customFormat="1" hidden="1" x14ac:dyDescent="0.2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</row>
    <row r="341" spans="1:16" s="6" customFormat="1" hidden="1" x14ac:dyDescent="0.2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</row>
    <row r="342" spans="1:16" s="6" customFormat="1" hidden="1" x14ac:dyDescent="0.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</row>
    <row r="343" spans="1:16" s="6" customFormat="1" hidden="1" x14ac:dyDescent="0.2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</row>
    <row r="344" spans="1:16" s="6" customFormat="1" hidden="1" x14ac:dyDescent="0.2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</row>
    <row r="345" spans="1:16" s="6" customFormat="1" hidden="1" x14ac:dyDescent="0.2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</row>
    <row r="346" spans="1:16" s="6" customFormat="1" hidden="1" x14ac:dyDescent="0.2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</row>
    <row r="347" spans="1:16" s="6" customFormat="1" hidden="1" x14ac:dyDescent="0.2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</row>
    <row r="348" spans="1:16" s="6" customFormat="1" hidden="1" x14ac:dyDescent="0.2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</row>
    <row r="349" spans="1:16" s="6" customFormat="1" hidden="1" x14ac:dyDescent="0.2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</row>
    <row r="350" spans="1:16" s="6" customFormat="1" hidden="1" x14ac:dyDescent="0.2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</row>
    <row r="351" spans="1:16" s="6" customFormat="1" hidden="1" x14ac:dyDescent="0.2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</row>
    <row r="352" spans="1:16" s="6" customFormat="1" hidden="1" x14ac:dyDescent="0.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</row>
    <row r="353" spans="1:16" s="6" customFormat="1" hidden="1" x14ac:dyDescent="0.2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</row>
    <row r="354" spans="1:16" s="6" customFormat="1" hidden="1" x14ac:dyDescent="0.2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</row>
    <row r="355" spans="1:16" s="6" customFormat="1" hidden="1" x14ac:dyDescent="0.2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</row>
    <row r="356" spans="1:16" s="6" customFormat="1" hidden="1" x14ac:dyDescent="0.2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</row>
    <row r="357" spans="1:16" s="6" customFormat="1" hidden="1" x14ac:dyDescent="0.2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</row>
    <row r="358" spans="1:16" s="6" customFormat="1" hidden="1" x14ac:dyDescent="0.2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</row>
    <row r="359" spans="1:16" s="6" customFormat="1" hidden="1" x14ac:dyDescent="0.2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</row>
    <row r="360" spans="1:16" s="6" customFormat="1" hidden="1" x14ac:dyDescent="0.2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</row>
    <row r="361" spans="1:16" s="6" customFormat="1" hidden="1" x14ac:dyDescent="0.2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</row>
    <row r="362" spans="1:16" s="6" customFormat="1" hidden="1" x14ac:dyDescent="0.2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</row>
    <row r="363" spans="1:16" s="6" customFormat="1" hidden="1" x14ac:dyDescent="0.2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</row>
    <row r="364" spans="1:16" s="6" customFormat="1" hidden="1" x14ac:dyDescent="0.2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</row>
    <row r="365" spans="1:16" s="6" customFormat="1" hidden="1" x14ac:dyDescent="0.2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</row>
    <row r="366" spans="1:16" s="6" customFormat="1" hidden="1" x14ac:dyDescent="0.2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</row>
    <row r="367" spans="1:16" s="6" customFormat="1" hidden="1" x14ac:dyDescent="0.2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</row>
    <row r="368" spans="1:16" s="6" customFormat="1" hidden="1" x14ac:dyDescent="0.2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</row>
    <row r="369" spans="1:16" s="6" customFormat="1" hidden="1" x14ac:dyDescent="0.2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</row>
    <row r="370" spans="1:16" s="6" customFormat="1" hidden="1" x14ac:dyDescent="0.2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</row>
    <row r="371" spans="1:16" s="6" customFormat="1" hidden="1" x14ac:dyDescent="0.2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</row>
    <row r="372" spans="1:16" s="6" customFormat="1" hidden="1" x14ac:dyDescent="0.2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</row>
    <row r="373" spans="1:16" s="6" customFormat="1" hidden="1" x14ac:dyDescent="0.2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</row>
    <row r="374" spans="1:16" s="6" customFormat="1" hidden="1" x14ac:dyDescent="0.2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</row>
    <row r="375" spans="1:16" s="6" customFormat="1" hidden="1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</row>
    <row r="376" spans="1:16" s="6" customFormat="1" hidden="1" x14ac:dyDescent="0.2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</row>
    <row r="377" spans="1:16" s="6" customFormat="1" hidden="1" x14ac:dyDescent="0.2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</row>
    <row r="378" spans="1:16" s="6" customFormat="1" hidden="1" x14ac:dyDescent="0.2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</row>
    <row r="379" spans="1:16" s="6" customFormat="1" hidden="1" x14ac:dyDescent="0.2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</row>
    <row r="380" spans="1:16" s="6" customFormat="1" hidden="1" x14ac:dyDescent="0.2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</row>
    <row r="381" spans="1:16" s="6" customFormat="1" hidden="1" x14ac:dyDescent="0.2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</row>
    <row r="382" spans="1:16" s="6" customFormat="1" hidden="1" x14ac:dyDescent="0.2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</row>
    <row r="383" spans="1:16" s="6" customFormat="1" hidden="1" x14ac:dyDescent="0.2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</row>
    <row r="384" spans="1:16" s="6" customFormat="1" hidden="1" x14ac:dyDescent="0.2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</row>
    <row r="385" spans="1:16" s="6" customFormat="1" hidden="1" x14ac:dyDescent="0.2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</row>
    <row r="386" spans="1:16" s="6" customFormat="1" hidden="1" x14ac:dyDescent="0.2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</row>
    <row r="387" spans="1:16" s="6" customFormat="1" hidden="1" x14ac:dyDescent="0.2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</row>
    <row r="388" spans="1:16" s="6" customFormat="1" hidden="1" x14ac:dyDescent="0.2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</row>
    <row r="389" spans="1:16" s="6" customFormat="1" hidden="1" x14ac:dyDescent="0.2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</row>
    <row r="390" spans="1:16" s="6" customFormat="1" hidden="1" x14ac:dyDescent="0.2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</row>
    <row r="391" spans="1:16" s="6" customFormat="1" hidden="1" x14ac:dyDescent="0.2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</row>
    <row r="392" spans="1:16" s="6" customFormat="1" hidden="1" x14ac:dyDescent="0.2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</row>
    <row r="393" spans="1:16" s="6" customFormat="1" hidden="1" x14ac:dyDescent="0.2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</row>
    <row r="394" spans="1:16" s="6" customFormat="1" hidden="1" x14ac:dyDescent="0.2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</row>
    <row r="395" spans="1:16" s="6" customFormat="1" hidden="1" x14ac:dyDescent="0.2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</row>
    <row r="396" spans="1:16" s="6" customFormat="1" hidden="1" x14ac:dyDescent="0.2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</row>
    <row r="397" spans="1:16" s="6" customFormat="1" hidden="1" x14ac:dyDescent="0.2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</row>
    <row r="398" spans="1:16" s="6" customFormat="1" hidden="1" x14ac:dyDescent="0.2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</row>
    <row r="399" spans="1:16" s="6" customFormat="1" hidden="1" x14ac:dyDescent="0.2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</row>
    <row r="400" spans="1:16" s="6" customFormat="1" hidden="1" x14ac:dyDescent="0.2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</row>
    <row r="401" spans="1:16" s="6" customFormat="1" hidden="1" x14ac:dyDescent="0.2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</row>
    <row r="402" spans="1:16" s="6" customFormat="1" hidden="1" x14ac:dyDescent="0.2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</row>
    <row r="403" spans="1:16" s="6" customFormat="1" hidden="1" x14ac:dyDescent="0.2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</row>
    <row r="404" spans="1:16" s="6" customFormat="1" hidden="1" x14ac:dyDescent="0.2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</row>
    <row r="405" spans="1:16" s="6" customFormat="1" hidden="1" x14ac:dyDescent="0.2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</row>
    <row r="406" spans="1:16" s="6" customFormat="1" hidden="1" x14ac:dyDescent="0.2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</row>
    <row r="407" spans="1:16" s="6" customFormat="1" hidden="1" x14ac:dyDescent="0.2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</row>
    <row r="408" spans="1:16" s="6" customFormat="1" hidden="1" x14ac:dyDescent="0.2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</row>
    <row r="409" spans="1:16" s="6" customFormat="1" hidden="1" x14ac:dyDescent="0.2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</row>
    <row r="410" spans="1:16" s="6" customFormat="1" hidden="1" x14ac:dyDescent="0.2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</row>
    <row r="411" spans="1:16" s="6" customFormat="1" hidden="1" x14ac:dyDescent="0.2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</row>
    <row r="412" spans="1:16" s="6" customFormat="1" hidden="1" x14ac:dyDescent="0.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</row>
    <row r="413" spans="1:16" s="6" customFormat="1" hidden="1" x14ac:dyDescent="0.2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</row>
    <row r="414" spans="1:16" s="6" customFormat="1" hidden="1" x14ac:dyDescent="0.2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</row>
    <row r="415" spans="1:16" s="6" customFormat="1" hidden="1" x14ac:dyDescent="0.2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</row>
    <row r="416" spans="1:16" s="6" customFormat="1" hidden="1" x14ac:dyDescent="0.2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</row>
    <row r="417" spans="1:16" s="6" customFormat="1" hidden="1" x14ac:dyDescent="0.2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</row>
    <row r="418" spans="1:16" s="6" customFormat="1" hidden="1" x14ac:dyDescent="0.2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</row>
    <row r="419" spans="1:16" s="6" customFormat="1" hidden="1" x14ac:dyDescent="0.2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</row>
    <row r="420" spans="1:16" s="6" customFormat="1" hidden="1" x14ac:dyDescent="0.2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</row>
    <row r="421" spans="1:16" s="6" customFormat="1" hidden="1" x14ac:dyDescent="0.2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</row>
    <row r="422" spans="1:16" s="6" customFormat="1" hidden="1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</row>
    <row r="423" spans="1:16" s="6" customFormat="1" hidden="1" x14ac:dyDescent="0.2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</row>
    <row r="424" spans="1:16" s="6" customFormat="1" hidden="1" x14ac:dyDescent="0.2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</row>
    <row r="425" spans="1:16" s="6" customFormat="1" hidden="1" x14ac:dyDescent="0.2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</row>
    <row r="426" spans="1:16" s="6" customFormat="1" hidden="1" x14ac:dyDescent="0.2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</row>
    <row r="427" spans="1:16" s="6" customFormat="1" hidden="1" x14ac:dyDescent="0.2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</row>
    <row r="428" spans="1:16" s="6" customFormat="1" hidden="1" x14ac:dyDescent="0.2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</row>
    <row r="429" spans="1:16" s="6" customFormat="1" hidden="1" x14ac:dyDescent="0.2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</row>
    <row r="430" spans="1:16" s="6" customFormat="1" hidden="1" x14ac:dyDescent="0.2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</row>
    <row r="431" spans="1:16" s="6" customFormat="1" hidden="1" x14ac:dyDescent="0.2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</row>
    <row r="432" spans="1:16" s="6" customFormat="1" hidden="1" x14ac:dyDescent="0.2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</row>
    <row r="433" spans="1:16" s="6" customFormat="1" hidden="1" x14ac:dyDescent="0.2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</row>
    <row r="434" spans="1:16" s="6" customFormat="1" hidden="1" x14ac:dyDescent="0.2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</row>
    <row r="435" spans="1:16" s="6" customFormat="1" hidden="1" x14ac:dyDescent="0.2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</row>
    <row r="436" spans="1:16" s="6" customFormat="1" hidden="1" x14ac:dyDescent="0.2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</row>
    <row r="437" spans="1:16" s="6" customFormat="1" hidden="1" x14ac:dyDescent="0.2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</row>
    <row r="438" spans="1:16" s="6" customFormat="1" hidden="1" x14ac:dyDescent="0.2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</row>
    <row r="439" spans="1:16" s="6" customFormat="1" hidden="1" x14ac:dyDescent="0.2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</row>
    <row r="440" spans="1:16" s="6" customFormat="1" hidden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</row>
    <row r="441" spans="1:16" s="6" customFormat="1" hidden="1" x14ac:dyDescent="0.2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</row>
    <row r="442" spans="1:16" s="6" customFormat="1" hidden="1" x14ac:dyDescent="0.2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</row>
    <row r="443" spans="1:16" s="6" customFormat="1" hidden="1" x14ac:dyDescent="0.2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</row>
    <row r="444" spans="1:16" s="6" customFormat="1" hidden="1" x14ac:dyDescent="0.2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</row>
    <row r="445" spans="1:16" s="6" customFormat="1" hidden="1" x14ac:dyDescent="0.2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</row>
    <row r="446" spans="1:16" s="6" customFormat="1" hidden="1" x14ac:dyDescent="0.2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</row>
    <row r="447" spans="1:16" s="6" customFormat="1" hidden="1" x14ac:dyDescent="0.2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</row>
    <row r="448" spans="1:16" s="6" customFormat="1" hidden="1" x14ac:dyDescent="0.2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</row>
    <row r="449" spans="1:16" s="6" customFormat="1" hidden="1" x14ac:dyDescent="0.2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</row>
    <row r="450" spans="1:16" s="6" customFormat="1" hidden="1" x14ac:dyDescent="0.2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</row>
    <row r="451" spans="1:16" s="6" customFormat="1" hidden="1" x14ac:dyDescent="0.2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</row>
    <row r="452" spans="1:16" s="6" customFormat="1" hidden="1" x14ac:dyDescent="0.2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</row>
    <row r="453" spans="1:16" s="6" customFormat="1" hidden="1" x14ac:dyDescent="0.2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</row>
    <row r="454" spans="1:16" s="6" customFormat="1" hidden="1" x14ac:dyDescent="0.2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</row>
    <row r="455" spans="1:16" s="6" customFormat="1" hidden="1" x14ac:dyDescent="0.2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</row>
    <row r="456" spans="1:16" s="6" customFormat="1" hidden="1" x14ac:dyDescent="0.2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</row>
    <row r="457" spans="1:16" s="6" customFormat="1" hidden="1" x14ac:dyDescent="0.2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</row>
    <row r="458" spans="1:16" s="6" customFormat="1" hidden="1" x14ac:dyDescent="0.2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</row>
    <row r="459" spans="1:16" s="6" customFormat="1" hidden="1" x14ac:dyDescent="0.2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</row>
    <row r="460" spans="1:16" s="6" customFormat="1" hidden="1" x14ac:dyDescent="0.2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</row>
    <row r="461" spans="1:16" s="6" customFormat="1" hidden="1" x14ac:dyDescent="0.2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</row>
    <row r="462" spans="1:16" s="6" customFormat="1" hidden="1" x14ac:dyDescent="0.2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</row>
    <row r="463" spans="1:16" s="6" customFormat="1" hidden="1" x14ac:dyDescent="0.2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</row>
    <row r="464" spans="1:16" s="6" customFormat="1" hidden="1" x14ac:dyDescent="0.2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</row>
    <row r="465" spans="1:16" s="6" customFormat="1" hidden="1" x14ac:dyDescent="0.2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</row>
    <row r="466" spans="1:16" s="6" customFormat="1" hidden="1" x14ac:dyDescent="0.2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</row>
    <row r="467" spans="1:16" s="6" customFormat="1" hidden="1" x14ac:dyDescent="0.2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</row>
    <row r="468" spans="1:16" s="6" customFormat="1" hidden="1" x14ac:dyDescent="0.2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</row>
    <row r="469" spans="1:16" s="6" customFormat="1" hidden="1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</row>
    <row r="470" spans="1:16" s="6" customFormat="1" hidden="1" x14ac:dyDescent="0.2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</row>
    <row r="471" spans="1:16" s="6" customFormat="1" hidden="1" x14ac:dyDescent="0.2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</row>
    <row r="472" spans="1:16" s="6" customFormat="1" hidden="1" x14ac:dyDescent="0.2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</row>
    <row r="473" spans="1:16" s="6" customFormat="1" hidden="1" x14ac:dyDescent="0.2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</row>
    <row r="474" spans="1:16" s="6" customFormat="1" hidden="1" x14ac:dyDescent="0.2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</row>
    <row r="475" spans="1:16" s="6" customFormat="1" hidden="1" x14ac:dyDescent="0.2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</row>
    <row r="476" spans="1:16" s="6" customFormat="1" hidden="1" x14ac:dyDescent="0.2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</row>
    <row r="477" spans="1:16" s="6" customFormat="1" hidden="1" x14ac:dyDescent="0.2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</row>
    <row r="478" spans="1:16" s="6" customFormat="1" hidden="1" x14ac:dyDescent="0.2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</row>
    <row r="479" spans="1:16" s="6" customFormat="1" hidden="1" x14ac:dyDescent="0.2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</row>
    <row r="480" spans="1:16" s="6" customFormat="1" hidden="1" x14ac:dyDescent="0.2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</row>
    <row r="481" spans="1:16" s="6" customFormat="1" hidden="1" x14ac:dyDescent="0.2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</row>
    <row r="482" spans="1:16" s="6" customFormat="1" hidden="1" x14ac:dyDescent="0.2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</row>
    <row r="483" spans="1:16" s="6" customFormat="1" hidden="1" x14ac:dyDescent="0.2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</row>
    <row r="484" spans="1:16" s="6" customFormat="1" hidden="1" x14ac:dyDescent="0.2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</row>
    <row r="485" spans="1:16" s="6" customFormat="1" hidden="1" x14ac:dyDescent="0.2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</row>
    <row r="486" spans="1:16" s="6" customFormat="1" hidden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</row>
    <row r="487" spans="1:16" s="6" customFormat="1" hidden="1" x14ac:dyDescent="0.2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</row>
    <row r="488" spans="1:16" s="6" customFormat="1" hidden="1" x14ac:dyDescent="0.2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</row>
    <row r="489" spans="1:16" s="6" customFormat="1" hidden="1" x14ac:dyDescent="0.2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</row>
    <row r="490" spans="1:16" s="6" customFormat="1" hidden="1" x14ac:dyDescent="0.2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</row>
    <row r="491" spans="1:16" s="6" customFormat="1" hidden="1" x14ac:dyDescent="0.2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</row>
    <row r="492" spans="1:16" s="6" customFormat="1" hidden="1" x14ac:dyDescent="0.2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</row>
    <row r="493" spans="1:16" s="6" customFormat="1" hidden="1" x14ac:dyDescent="0.2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</row>
    <row r="494" spans="1:16" s="6" customFormat="1" hidden="1" x14ac:dyDescent="0.2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</row>
    <row r="495" spans="1:16" s="6" customFormat="1" hidden="1" x14ac:dyDescent="0.2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</row>
    <row r="496" spans="1:16" s="6" customFormat="1" hidden="1" x14ac:dyDescent="0.2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</row>
    <row r="497" spans="1:16" s="6" customFormat="1" hidden="1" x14ac:dyDescent="0.2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</row>
    <row r="498" spans="1:16" s="6" customFormat="1" hidden="1" x14ac:dyDescent="0.2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</row>
    <row r="499" spans="1:16" s="6" customFormat="1" hidden="1" x14ac:dyDescent="0.2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</row>
    <row r="500" spans="1:16" s="6" customFormat="1" hidden="1" x14ac:dyDescent="0.2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</row>
    <row r="501" spans="1:16" s="6" customFormat="1" hidden="1" x14ac:dyDescent="0.2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</row>
    <row r="502" spans="1:16" s="6" customFormat="1" hidden="1" x14ac:dyDescent="0.2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</row>
    <row r="503" spans="1:16" s="6" customFormat="1" hidden="1" x14ac:dyDescent="0.2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</row>
    <row r="504" spans="1:16" s="6" customFormat="1" hidden="1" x14ac:dyDescent="0.2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</row>
    <row r="505" spans="1:16" s="6" customFormat="1" hidden="1" x14ac:dyDescent="0.2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</row>
    <row r="506" spans="1:16" s="6" customFormat="1" hidden="1" x14ac:dyDescent="0.2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</row>
    <row r="507" spans="1:16" s="6" customFormat="1" hidden="1" x14ac:dyDescent="0.2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</row>
    <row r="508" spans="1:16" s="6" customFormat="1" hidden="1" x14ac:dyDescent="0.2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</row>
    <row r="509" spans="1:16" s="6" customFormat="1" hidden="1" x14ac:dyDescent="0.2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</row>
    <row r="510" spans="1:16" s="6" customFormat="1" hidden="1" x14ac:dyDescent="0.2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</row>
    <row r="511" spans="1:16" s="6" customFormat="1" hidden="1" x14ac:dyDescent="0.2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</row>
    <row r="512" spans="1:16" s="6" customFormat="1" hidden="1" x14ac:dyDescent="0.2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</row>
    <row r="513" spans="1:16" s="6" customFormat="1" hidden="1" x14ac:dyDescent="0.2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</row>
    <row r="514" spans="1:16" s="6" customFormat="1" hidden="1" x14ac:dyDescent="0.2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</row>
    <row r="515" spans="1:16" s="6" customFormat="1" hidden="1" x14ac:dyDescent="0.2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</row>
    <row r="516" spans="1:16" s="6" customFormat="1" hidden="1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</row>
    <row r="517" spans="1:16" s="6" customFormat="1" hidden="1" x14ac:dyDescent="0.2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</row>
    <row r="518" spans="1:16" s="6" customFormat="1" hidden="1" x14ac:dyDescent="0.2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</row>
    <row r="519" spans="1:16" s="6" customFormat="1" hidden="1" x14ac:dyDescent="0.2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</row>
    <row r="520" spans="1:16" s="6" customFormat="1" hidden="1" x14ac:dyDescent="0.2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</row>
    <row r="521" spans="1:16" s="6" customFormat="1" hidden="1" x14ac:dyDescent="0.2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</row>
    <row r="522" spans="1:16" s="6" customFormat="1" hidden="1" x14ac:dyDescent="0.2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</row>
    <row r="523" spans="1:16" s="6" customFormat="1" hidden="1" x14ac:dyDescent="0.2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</row>
    <row r="524" spans="1:16" s="6" customFormat="1" hidden="1" x14ac:dyDescent="0.2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</row>
    <row r="525" spans="1:16" s="6" customFormat="1" hidden="1" x14ac:dyDescent="0.2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</row>
    <row r="526" spans="1:16" s="6" customFormat="1" hidden="1" x14ac:dyDescent="0.2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</row>
    <row r="527" spans="1:16" s="6" customFormat="1" hidden="1" x14ac:dyDescent="0.2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</row>
    <row r="528" spans="1:16" s="6" customFormat="1" hidden="1" x14ac:dyDescent="0.2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</row>
    <row r="529" spans="1:16" s="6" customFormat="1" hidden="1" x14ac:dyDescent="0.2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</row>
    <row r="530" spans="1:16" s="6" customFormat="1" hidden="1" x14ac:dyDescent="0.2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</row>
    <row r="531" spans="1:16" s="6" customFormat="1" hidden="1" x14ac:dyDescent="0.2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</row>
    <row r="532" spans="1:16" s="6" customFormat="1" hidden="1" x14ac:dyDescent="0.2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</row>
    <row r="533" spans="1:16" s="6" customFormat="1" hidden="1" x14ac:dyDescent="0.2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</row>
    <row r="534" spans="1:16" s="6" customFormat="1" hidden="1" x14ac:dyDescent="0.2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</row>
    <row r="535" spans="1:16" s="6" customFormat="1" hidden="1" x14ac:dyDescent="0.2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</row>
    <row r="536" spans="1:16" s="6" customFormat="1" hidden="1" x14ac:dyDescent="0.2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</row>
    <row r="537" spans="1:16" s="6" customFormat="1" hidden="1" x14ac:dyDescent="0.2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</row>
    <row r="538" spans="1:16" s="6" customFormat="1" hidden="1" x14ac:dyDescent="0.2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</row>
    <row r="539" spans="1:16" s="6" customFormat="1" hidden="1" x14ac:dyDescent="0.2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</row>
    <row r="540" spans="1:16" s="6" customFormat="1" hidden="1" x14ac:dyDescent="0.2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</row>
    <row r="541" spans="1:16" s="6" customFormat="1" hidden="1" x14ac:dyDescent="0.2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</row>
    <row r="542" spans="1:16" s="6" customFormat="1" hidden="1" x14ac:dyDescent="0.2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</row>
    <row r="543" spans="1:16" s="6" customFormat="1" hidden="1" x14ac:dyDescent="0.2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</row>
    <row r="544" spans="1:16" s="6" customFormat="1" hidden="1" x14ac:dyDescent="0.2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</row>
    <row r="545" spans="1:16" s="6" customFormat="1" hidden="1" x14ac:dyDescent="0.2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</row>
    <row r="546" spans="1:16" s="6" customFormat="1" hidden="1" x14ac:dyDescent="0.2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</row>
    <row r="547" spans="1:16" s="6" customFormat="1" hidden="1" x14ac:dyDescent="0.2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</row>
    <row r="548" spans="1:16" s="6" customFormat="1" hidden="1" x14ac:dyDescent="0.2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</row>
    <row r="549" spans="1:16" s="6" customFormat="1" hidden="1" x14ac:dyDescent="0.2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</row>
    <row r="550" spans="1:16" s="6" customFormat="1" hidden="1" x14ac:dyDescent="0.2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</row>
    <row r="551" spans="1:16" s="6" customFormat="1" hidden="1" x14ac:dyDescent="0.2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</row>
    <row r="552" spans="1:16" s="6" customFormat="1" hidden="1" x14ac:dyDescent="0.2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</row>
    <row r="553" spans="1:16" s="6" customFormat="1" hidden="1" x14ac:dyDescent="0.2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</row>
    <row r="554" spans="1:16" s="6" customFormat="1" hidden="1" x14ac:dyDescent="0.2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</row>
    <row r="555" spans="1:16" s="6" customFormat="1" hidden="1" x14ac:dyDescent="0.2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</row>
    <row r="556" spans="1:16" s="6" customFormat="1" hidden="1" x14ac:dyDescent="0.2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</row>
    <row r="557" spans="1:16" s="6" customFormat="1" hidden="1" x14ac:dyDescent="0.2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</row>
    <row r="558" spans="1:16" s="6" customFormat="1" hidden="1" x14ac:dyDescent="0.2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</row>
    <row r="559" spans="1:16" s="6" customFormat="1" hidden="1" x14ac:dyDescent="0.2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</row>
    <row r="560" spans="1:16" s="6" customFormat="1" hidden="1" x14ac:dyDescent="0.2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</row>
    <row r="561" spans="1:16" s="6" customFormat="1" hidden="1" x14ac:dyDescent="0.2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</row>
    <row r="562" spans="1:16" s="6" customFormat="1" hidden="1" x14ac:dyDescent="0.2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</row>
    <row r="563" spans="1:16" s="6" customFormat="1" hidden="1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</row>
    <row r="564" spans="1:16" s="6" customFormat="1" hidden="1" x14ac:dyDescent="0.2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</row>
    <row r="565" spans="1:16" s="6" customFormat="1" hidden="1" x14ac:dyDescent="0.2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</row>
    <row r="566" spans="1:16" s="6" customFormat="1" hidden="1" x14ac:dyDescent="0.2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</row>
    <row r="567" spans="1:16" s="6" customFormat="1" hidden="1" x14ac:dyDescent="0.2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</row>
    <row r="568" spans="1:16" s="6" customFormat="1" hidden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</row>
    <row r="569" spans="1:16" s="6" customFormat="1" hidden="1" x14ac:dyDescent="0.2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</row>
    <row r="570" spans="1:16" s="6" customFormat="1" hidden="1" x14ac:dyDescent="0.2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</row>
    <row r="571" spans="1:16" s="6" customFormat="1" hidden="1" x14ac:dyDescent="0.2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</row>
    <row r="572" spans="1:16" s="6" customFormat="1" hidden="1" x14ac:dyDescent="0.2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</row>
    <row r="573" spans="1:16" s="6" customFormat="1" hidden="1" x14ac:dyDescent="0.2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</row>
    <row r="574" spans="1:16" s="6" customFormat="1" hidden="1" x14ac:dyDescent="0.2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</row>
    <row r="575" spans="1:16" s="6" customFormat="1" hidden="1" x14ac:dyDescent="0.2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</row>
    <row r="576" spans="1:16" s="6" customFormat="1" hidden="1" x14ac:dyDescent="0.2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</row>
    <row r="577" spans="1:16" s="6" customFormat="1" hidden="1" x14ac:dyDescent="0.2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</row>
    <row r="578" spans="1:16" s="6" customFormat="1" hidden="1" x14ac:dyDescent="0.2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</row>
    <row r="579" spans="1:16" s="6" customFormat="1" hidden="1" x14ac:dyDescent="0.2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</row>
    <row r="580" spans="1:16" s="6" customFormat="1" hidden="1" x14ac:dyDescent="0.2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</row>
    <row r="581" spans="1:16" s="6" customFormat="1" hidden="1" x14ac:dyDescent="0.2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</row>
    <row r="582" spans="1:16" s="6" customFormat="1" hidden="1" x14ac:dyDescent="0.2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</row>
    <row r="583" spans="1:16" s="6" customFormat="1" hidden="1" x14ac:dyDescent="0.2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</row>
    <row r="584" spans="1:16" s="6" customFormat="1" hidden="1" x14ac:dyDescent="0.2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</row>
    <row r="585" spans="1:16" s="6" customFormat="1" hidden="1" x14ac:dyDescent="0.2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</row>
    <row r="586" spans="1:16" s="6" customFormat="1" hidden="1" x14ac:dyDescent="0.2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</row>
    <row r="587" spans="1:16" s="6" customFormat="1" hidden="1" x14ac:dyDescent="0.2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</row>
    <row r="588" spans="1:16" s="6" customFormat="1" hidden="1" x14ac:dyDescent="0.2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</row>
    <row r="589" spans="1:16" s="6" customFormat="1" hidden="1" x14ac:dyDescent="0.2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</row>
    <row r="590" spans="1:16" s="6" customFormat="1" hidden="1" x14ac:dyDescent="0.2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</row>
    <row r="591" spans="1:16" s="6" customFormat="1" hidden="1" x14ac:dyDescent="0.2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</row>
    <row r="592" spans="1:16" s="6" customFormat="1" hidden="1" x14ac:dyDescent="0.2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</row>
    <row r="593" spans="1:16" s="6" customFormat="1" hidden="1" x14ac:dyDescent="0.2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</row>
    <row r="594" spans="1:16" s="6" customFormat="1" hidden="1" x14ac:dyDescent="0.2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</row>
    <row r="595" spans="1:16" s="6" customFormat="1" hidden="1" x14ac:dyDescent="0.2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</row>
    <row r="596" spans="1:16" s="6" customFormat="1" hidden="1" x14ac:dyDescent="0.2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</row>
    <row r="597" spans="1:16" s="6" customFormat="1" hidden="1" x14ac:dyDescent="0.2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</row>
    <row r="598" spans="1:16" s="6" customFormat="1" hidden="1" x14ac:dyDescent="0.2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</row>
    <row r="599" spans="1:16" s="6" customFormat="1" hidden="1" x14ac:dyDescent="0.2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</row>
    <row r="600" spans="1:16" s="6" customFormat="1" hidden="1" x14ac:dyDescent="0.2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</row>
    <row r="601" spans="1:16" s="6" customFormat="1" hidden="1" x14ac:dyDescent="0.2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</row>
    <row r="602" spans="1:16" s="6" customFormat="1" hidden="1" x14ac:dyDescent="0.2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</row>
    <row r="603" spans="1:16" s="6" customFormat="1" hidden="1" x14ac:dyDescent="0.2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</row>
    <row r="604" spans="1:16" s="6" customFormat="1" hidden="1" x14ac:dyDescent="0.2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</row>
    <row r="605" spans="1:16" s="6" customFormat="1" hidden="1" x14ac:dyDescent="0.2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</row>
    <row r="606" spans="1:16" s="6" customFormat="1" hidden="1" x14ac:dyDescent="0.2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</row>
    <row r="607" spans="1:16" s="6" customFormat="1" hidden="1" x14ac:dyDescent="0.2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</row>
    <row r="608" spans="1:16" s="6" customFormat="1" hidden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</row>
    <row r="609" spans="1:16" s="6" customFormat="1" hidden="1" x14ac:dyDescent="0.2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</row>
    <row r="610" spans="1:16" s="6" customFormat="1" hidden="1" x14ac:dyDescent="0.2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</row>
    <row r="611" spans="1:16" s="6" customFormat="1" hidden="1" x14ac:dyDescent="0.2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</row>
    <row r="612" spans="1:16" s="6" customFormat="1" hidden="1" x14ac:dyDescent="0.2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</row>
    <row r="613" spans="1:16" s="6" customFormat="1" hidden="1" x14ac:dyDescent="0.2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</row>
    <row r="614" spans="1:16" s="6" customFormat="1" hidden="1" x14ac:dyDescent="0.2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</row>
    <row r="615" spans="1:16" s="6" customFormat="1" hidden="1" x14ac:dyDescent="0.2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</row>
    <row r="616" spans="1:16" s="6" customFormat="1" hidden="1" x14ac:dyDescent="0.2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</row>
    <row r="617" spans="1:16" s="6" customFormat="1" hidden="1" x14ac:dyDescent="0.2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</row>
    <row r="618" spans="1:16" s="6" customFormat="1" hidden="1" x14ac:dyDescent="0.2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</row>
    <row r="619" spans="1:16" s="6" customFormat="1" hidden="1" x14ac:dyDescent="0.2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</row>
    <row r="620" spans="1:16" s="6" customFormat="1" hidden="1" x14ac:dyDescent="0.2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</row>
    <row r="621" spans="1:16" s="6" customFormat="1" hidden="1" x14ac:dyDescent="0.2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</row>
    <row r="622" spans="1:16" s="6" customFormat="1" hidden="1" x14ac:dyDescent="0.2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</row>
    <row r="623" spans="1:16" s="6" customFormat="1" hidden="1" x14ac:dyDescent="0.2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</row>
    <row r="624" spans="1:16" s="6" customFormat="1" hidden="1" x14ac:dyDescent="0.2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</row>
    <row r="625" spans="1:16" s="6" customFormat="1" hidden="1" x14ac:dyDescent="0.2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</row>
    <row r="626" spans="1:16" s="6" customFormat="1" hidden="1" x14ac:dyDescent="0.2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</row>
    <row r="627" spans="1:16" s="6" customFormat="1" hidden="1" x14ac:dyDescent="0.2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</row>
    <row r="628" spans="1:16" s="6" customFormat="1" hidden="1" x14ac:dyDescent="0.2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</row>
    <row r="629" spans="1:16" s="6" customFormat="1" hidden="1" x14ac:dyDescent="0.2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</row>
    <row r="630" spans="1:16" s="6" customFormat="1" hidden="1" x14ac:dyDescent="0.2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</row>
    <row r="631" spans="1:16" s="6" customFormat="1" hidden="1" x14ac:dyDescent="0.2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</row>
    <row r="632" spans="1:16" s="6" customFormat="1" hidden="1" x14ac:dyDescent="0.2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</row>
    <row r="633" spans="1:16" s="6" customFormat="1" hidden="1" x14ac:dyDescent="0.2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</row>
    <row r="634" spans="1:16" s="6" customFormat="1" hidden="1" x14ac:dyDescent="0.2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</row>
    <row r="635" spans="1:16" s="6" customFormat="1" hidden="1" x14ac:dyDescent="0.2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</row>
    <row r="636" spans="1:16" s="6" customFormat="1" hidden="1" x14ac:dyDescent="0.2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</row>
    <row r="637" spans="1:16" s="6" customFormat="1" hidden="1" x14ac:dyDescent="0.2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</row>
    <row r="638" spans="1:16" s="6" customFormat="1" hidden="1" x14ac:dyDescent="0.2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</row>
    <row r="639" spans="1:16" s="6" customFormat="1" hidden="1" x14ac:dyDescent="0.2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</row>
    <row r="640" spans="1:16" s="6" customFormat="1" hidden="1" x14ac:dyDescent="0.2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</row>
    <row r="641" spans="1:16" s="6" customFormat="1" hidden="1" x14ac:dyDescent="0.2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</row>
    <row r="642" spans="1:16" s="6" customFormat="1" hidden="1" x14ac:dyDescent="0.2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</row>
    <row r="643" spans="1:16" s="6" customFormat="1" hidden="1" x14ac:dyDescent="0.2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</row>
    <row r="644" spans="1:16" s="6" customFormat="1" hidden="1" x14ac:dyDescent="0.2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</row>
    <row r="645" spans="1:16" s="6" customFormat="1" hidden="1" x14ac:dyDescent="0.2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</row>
    <row r="646" spans="1:16" s="6" customFormat="1" hidden="1" x14ac:dyDescent="0.2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</row>
    <row r="647" spans="1:16" s="6" customFormat="1" hidden="1" x14ac:dyDescent="0.2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</row>
    <row r="648" spans="1:16" s="6" customFormat="1" hidden="1" x14ac:dyDescent="0.2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</row>
    <row r="649" spans="1:16" s="6" customFormat="1" hidden="1" x14ac:dyDescent="0.2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</row>
    <row r="650" spans="1:16" s="6" customFormat="1" hidden="1" x14ac:dyDescent="0.2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</row>
    <row r="651" spans="1:16" s="6" customFormat="1" hidden="1" x14ac:dyDescent="0.2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</row>
    <row r="652" spans="1:16" s="6" customFormat="1" hidden="1" x14ac:dyDescent="0.2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</row>
    <row r="653" spans="1:16" s="6" customFormat="1" hidden="1" x14ac:dyDescent="0.2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</row>
    <row r="654" spans="1:16" s="6" customFormat="1" hidden="1" x14ac:dyDescent="0.2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</row>
    <row r="655" spans="1:16" s="6" customFormat="1" hidden="1" x14ac:dyDescent="0.2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</row>
    <row r="656" spans="1:16" s="6" customFormat="1" hidden="1" x14ac:dyDescent="0.2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</row>
    <row r="657" spans="1:16" s="6" customFormat="1" hidden="1" x14ac:dyDescent="0.2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</row>
    <row r="658" spans="1:16" s="6" customFormat="1" hidden="1" x14ac:dyDescent="0.2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</row>
    <row r="659" spans="1:16" s="6" customFormat="1" hidden="1" x14ac:dyDescent="0.2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</row>
    <row r="660" spans="1:16" s="6" customFormat="1" hidden="1" x14ac:dyDescent="0.2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</row>
    <row r="661" spans="1:16" s="6" customFormat="1" hidden="1" x14ac:dyDescent="0.2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</row>
    <row r="662" spans="1:16" s="6" customFormat="1" hidden="1" x14ac:dyDescent="0.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</row>
    <row r="663" spans="1:16" s="6" customFormat="1" hidden="1" x14ac:dyDescent="0.2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</row>
    <row r="664" spans="1:16" s="6" customFormat="1" hidden="1" x14ac:dyDescent="0.2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</row>
    <row r="665" spans="1:16" s="6" customFormat="1" hidden="1" x14ac:dyDescent="0.2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</row>
    <row r="666" spans="1:16" s="6" customFormat="1" hidden="1" x14ac:dyDescent="0.2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</row>
    <row r="667" spans="1:16" s="6" customFormat="1" hidden="1" x14ac:dyDescent="0.2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</row>
    <row r="668" spans="1:16" s="6" customFormat="1" hidden="1" x14ac:dyDescent="0.2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</row>
    <row r="669" spans="1:16" s="6" customFormat="1" hidden="1" x14ac:dyDescent="0.2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</row>
    <row r="670" spans="1:16" s="6" customFormat="1" hidden="1" x14ac:dyDescent="0.2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</row>
    <row r="671" spans="1:16" s="6" customFormat="1" hidden="1" x14ac:dyDescent="0.2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</row>
    <row r="672" spans="1:16" s="6" customFormat="1" hidden="1" x14ac:dyDescent="0.2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</row>
    <row r="673" spans="1:16" s="6" customFormat="1" hidden="1" x14ac:dyDescent="0.2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</row>
    <row r="674" spans="1:16" s="6" customFormat="1" hidden="1" x14ac:dyDescent="0.2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</row>
    <row r="675" spans="1:16" s="6" customFormat="1" hidden="1" x14ac:dyDescent="0.2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</row>
    <row r="676" spans="1:16" s="6" customFormat="1" hidden="1" x14ac:dyDescent="0.2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</row>
    <row r="677" spans="1:16" s="6" customFormat="1" hidden="1" x14ac:dyDescent="0.2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</row>
    <row r="678" spans="1:16" s="6" customFormat="1" hidden="1" x14ac:dyDescent="0.2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</row>
    <row r="679" spans="1:16" s="6" customFormat="1" hidden="1" x14ac:dyDescent="0.2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</row>
    <row r="680" spans="1:16" s="6" customFormat="1" hidden="1" x14ac:dyDescent="0.2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</row>
    <row r="681" spans="1:16" s="6" customFormat="1" hidden="1" x14ac:dyDescent="0.2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</row>
    <row r="682" spans="1:16" s="6" customFormat="1" hidden="1" x14ac:dyDescent="0.2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</row>
    <row r="683" spans="1:16" s="6" customFormat="1" hidden="1" x14ac:dyDescent="0.2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</row>
    <row r="684" spans="1:16" s="6" customFormat="1" hidden="1" x14ac:dyDescent="0.2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</row>
    <row r="685" spans="1:16" s="6" customFormat="1" hidden="1" x14ac:dyDescent="0.2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</row>
    <row r="686" spans="1:16" s="6" customFormat="1" hidden="1" x14ac:dyDescent="0.2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</row>
    <row r="687" spans="1:16" s="6" customFormat="1" hidden="1" x14ac:dyDescent="0.2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</row>
    <row r="688" spans="1:16" s="6" customFormat="1" hidden="1" x14ac:dyDescent="0.2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</row>
    <row r="689" spans="1:16" s="6" customFormat="1" hidden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</row>
    <row r="690" spans="1:16" s="6" customFormat="1" hidden="1" x14ac:dyDescent="0.2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</row>
    <row r="691" spans="1:16" s="6" customFormat="1" hidden="1" x14ac:dyDescent="0.2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</row>
    <row r="692" spans="1:16" s="6" customFormat="1" hidden="1" x14ac:dyDescent="0.2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</row>
    <row r="693" spans="1:16" s="6" customFormat="1" hidden="1" x14ac:dyDescent="0.2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</row>
    <row r="694" spans="1:16" s="6" customFormat="1" hidden="1" x14ac:dyDescent="0.2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</row>
    <row r="695" spans="1:16" s="6" customFormat="1" hidden="1" x14ac:dyDescent="0.2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</row>
    <row r="696" spans="1:16" s="6" customFormat="1" hidden="1" x14ac:dyDescent="0.2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</row>
    <row r="697" spans="1:16" s="6" customFormat="1" hidden="1" x14ac:dyDescent="0.2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</row>
    <row r="698" spans="1:16" s="6" customFormat="1" hidden="1" x14ac:dyDescent="0.2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</row>
    <row r="699" spans="1:16" s="6" customFormat="1" hidden="1" x14ac:dyDescent="0.2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</row>
    <row r="700" spans="1:16" s="6" customFormat="1" hidden="1" x14ac:dyDescent="0.2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</row>
    <row r="701" spans="1:16" s="6" customFormat="1" hidden="1" x14ac:dyDescent="0.2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</row>
    <row r="702" spans="1:16" s="6" customFormat="1" hidden="1" x14ac:dyDescent="0.2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</row>
    <row r="703" spans="1:16" s="6" customFormat="1" hidden="1" x14ac:dyDescent="0.2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</row>
    <row r="704" spans="1:16" s="6" customFormat="1" hidden="1" x14ac:dyDescent="0.2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</row>
    <row r="705" spans="1:16" s="6" customFormat="1" hidden="1" x14ac:dyDescent="0.2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</row>
    <row r="706" spans="1:16" s="6" customFormat="1" hidden="1" x14ac:dyDescent="0.2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</row>
    <row r="707" spans="1:16" s="6" customFormat="1" hidden="1" x14ac:dyDescent="0.2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</row>
    <row r="708" spans="1:16" s="6" customFormat="1" hidden="1" x14ac:dyDescent="0.2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</row>
    <row r="709" spans="1:16" s="6" customFormat="1" hidden="1" x14ac:dyDescent="0.2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</row>
    <row r="710" spans="1:16" s="6" customFormat="1" hidden="1" x14ac:dyDescent="0.2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</row>
    <row r="711" spans="1:16" s="6" customFormat="1" hidden="1" x14ac:dyDescent="0.2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</row>
    <row r="712" spans="1:16" s="6" customFormat="1" hidden="1" x14ac:dyDescent="0.2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</row>
    <row r="713" spans="1:16" s="6" customFormat="1" hidden="1" x14ac:dyDescent="0.2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</row>
    <row r="714" spans="1:16" s="6" customFormat="1" hidden="1" x14ac:dyDescent="0.2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</row>
    <row r="715" spans="1:16" s="6" customFormat="1" hidden="1" x14ac:dyDescent="0.2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</row>
    <row r="716" spans="1:16" s="6" customFormat="1" hidden="1" x14ac:dyDescent="0.2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</row>
    <row r="717" spans="1:16" s="6" customFormat="1" hidden="1" x14ac:dyDescent="0.2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</row>
    <row r="718" spans="1:16" s="6" customFormat="1" hidden="1" x14ac:dyDescent="0.2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</row>
    <row r="719" spans="1:16" s="6" customFormat="1" hidden="1" x14ac:dyDescent="0.2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</row>
    <row r="720" spans="1:16" s="6" customFormat="1" hidden="1" x14ac:dyDescent="0.2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</row>
    <row r="721" spans="1:16" s="6" customFormat="1" hidden="1" x14ac:dyDescent="0.2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</row>
    <row r="722" spans="1:16" s="6" customFormat="1" hidden="1" x14ac:dyDescent="0.2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</row>
    <row r="723" spans="1:16" s="6" customFormat="1" hidden="1" x14ac:dyDescent="0.2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</row>
    <row r="724" spans="1:16" s="6" customFormat="1" hidden="1" x14ac:dyDescent="0.2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</row>
    <row r="725" spans="1:16" s="6" customFormat="1" hidden="1" x14ac:dyDescent="0.2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</row>
    <row r="726" spans="1:16" s="6" customFormat="1" hidden="1" x14ac:dyDescent="0.2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</row>
    <row r="727" spans="1:16" s="6" customFormat="1" hidden="1" x14ac:dyDescent="0.2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</row>
    <row r="728" spans="1:16" s="6" customFormat="1" hidden="1" x14ac:dyDescent="0.2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</row>
    <row r="729" spans="1:16" s="6" customFormat="1" hidden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</row>
    <row r="730" spans="1:16" s="6" customFormat="1" hidden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</row>
    <row r="731" spans="1:16" s="6" customFormat="1" hidden="1" x14ac:dyDescent="0.2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</row>
    <row r="732" spans="1:16" s="6" customFormat="1" hidden="1" x14ac:dyDescent="0.2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</row>
    <row r="733" spans="1:16" s="6" customFormat="1" hidden="1" x14ac:dyDescent="0.2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</row>
    <row r="734" spans="1:16" s="6" customFormat="1" hidden="1" x14ac:dyDescent="0.2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</row>
    <row r="735" spans="1:16" s="6" customFormat="1" hidden="1" x14ac:dyDescent="0.2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</row>
    <row r="736" spans="1:16" s="6" customFormat="1" hidden="1" x14ac:dyDescent="0.2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</row>
    <row r="737" spans="1:16" s="6" customFormat="1" hidden="1" x14ac:dyDescent="0.2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</row>
    <row r="738" spans="1:16" s="6" customFormat="1" hidden="1" x14ac:dyDescent="0.2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</row>
    <row r="739" spans="1:16" s="6" customFormat="1" hidden="1" x14ac:dyDescent="0.2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</row>
    <row r="740" spans="1:16" s="6" customFormat="1" hidden="1" x14ac:dyDescent="0.2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</row>
    <row r="741" spans="1:16" s="6" customFormat="1" hidden="1" x14ac:dyDescent="0.2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</row>
    <row r="742" spans="1:16" s="6" customFormat="1" hidden="1" x14ac:dyDescent="0.2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</row>
    <row r="743" spans="1:16" s="6" customFormat="1" hidden="1" x14ac:dyDescent="0.2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</row>
    <row r="744" spans="1:16" s="6" customFormat="1" hidden="1" x14ac:dyDescent="0.2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</row>
    <row r="745" spans="1:16" s="6" customFormat="1" hidden="1" x14ac:dyDescent="0.2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</row>
    <row r="746" spans="1:16" s="6" customFormat="1" hidden="1" x14ac:dyDescent="0.2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</row>
    <row r="747" spans="1:16" s="6" customFormat="1" hidden="1" x14ac:dyDescent="0.2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</row>
    <row r="748" spans="1:16" s="6" customFormat="1" hidden="1" x14ac:dyDescent="0.2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</row>
    <row r="749" spans="1:16" s="6" customFormat="1" hidden="1" x14ac:dyDescent="0.2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</row>
    <row r="750" spans="1:16" s="6" customFormat="1" hidden="1" x14ac:dyDescent="0.2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</row>
    <row r="751" spans="1:16" s="6" customFormat="1" hidden="1" x14ac:dyDescent="0.2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</row>
    <row r="752" spans="1:16" s="6" customFormat="1" hidden="1" x14ac:dyDescent="0.2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</row>
    <row r="753" spans="1:16" s="6" customFormat="1" hidden="1" x14ac:dyDescent="0.2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</row>
    <row r="754" spans="1:16" s="6" customFormat="1" hidden="1" x14ac:dyDescent="0.2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</row>
    <row r="755" spans="1:16" s="6" customFormat="1" hidden="1" x14ac:dyDescent="0.2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</row>
    <row r="756" spans="1:16" s="6" customFormat="1" hidden="1" x14ac:dyDescent="0.2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</row>
    <row r="757" spans="1:16" s="6" customFormat="1" hidden="1" x14ac:dyDescent="0.2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</row>
    <row r="758" spans="1:16" s="6" customFormat="1" hidden="1" x14ac:dyDescent="0.2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</row>
    <row r="759" spans="1:16" s="6" customFormat="1" hidden="1" x14ac:dyDescent="0.2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</row>
    <row r="760" spans="1:16" s="6" customFormat="1" hidden="1" x14ac:dyDescent="0.2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</row>
    <row r="761" spans="1:16" s="6" customFormat="1" hidden="1" x14ac:dyDescent="0.2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</row>
    <row r="762" spans="1:16" s="6" customFormat="1" hidden="1" x14ac:dyDescent="0.2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</row>
    <row r="763" spans="1:16" s="6" customFormat="1" hidden="1" x14ac:dyDescent="0.2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</row>
    <row r="764" spans="1:16" s="6" customFormat="1" hidden="1" x14ac:dyDescent="0.2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</row>
    <row r="765" spans="1:16" s="6" customFormat="1" hidden="1" x14ac:dyDescent="0.2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</row>
    <row r="766" spans="1:16" s="6" customFormat="1" hidden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</row>
    <row r="767" spans="1:16" s="6" customFormat="1" hidden="1" x14ac:dyDescent="0.2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</row>
    <row r="768" spans="1:16" s="6" customFormat="1" hidden="1" x14ac:dyDescent="0.2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</row>
    <row r="769" spans="1:16" s="6" customFormat="1" hidden="1" x14ac:dyDescent="0.2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</row>
    <row r="770" spans="1:16" s="6" customFormat="1" hidden="1" x14ac:dyDescent="0.2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</row>
    <row r="771" spans="1:16" s="6" customFormat="1" hidden="1" x14ac:dyDescent="0.2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</row>
    <row r="772" spans="1:16" s="6" customFormat="1" hidden="1" x14ac:dyDescent="0.2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</row>
    <row r="773" spans="1:16" s="6" customFormat="1" hidden="1" x14ac:dyDescent="0.2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</row>
    <row r="774" spans="1:16" s="6" customFormat="1" hidden="1" x14ac:dyDescent="0.2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</row>
    <row r="775" spans="1:16" s="6" customFormat="1" hidden="1" x14ac:dyDescent="0.2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</row>
    <row r="776" spans="1:16" s="6" customFormat="1" hidden="1" x14ac:dyDescent="0.2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</row>
    <row r="777" spans="1:16" s="6" customFormat="1" hidden="1" x14ac:dyDescent="0.2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</row>
    <row r="778" spans="1:16" s="6" customFormat="1" hidden="1" x14ac:dyDescent="0.2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</row>
    <row r="779" spans="1:16" s="6" customFormat="1" hidden="1" x14ac:dyDescent="0.2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</row>
    <row r="780" spans="1:16" s="6" customFormat="1" hidden="1" x14ac:dyDescent="0.2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</row>
    <row r="781" spans="1:16" s="6" customFormat="1" hidden="1" x14ac:dyDescent="0.2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</row>
    <row r="782" spans="1:16" s="6" customFormat="1" hidden="1" x14ac:dyDescent="0.2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</row>
    <row r="783" spans="1:16" s="6" customFormat="1" hidden="1" x14ac:dyDescent="0.2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</row>
    <row r="784" spans="1:16" s="6" customFormat="1" hidden="1" x14ac:dyDescent="0.2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</row>
    <row r="785" spans="1:16" s="6" customFormat="1" hidden="1" x14ac:dyDescent="0.2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</row>
    <row r="786" spans="1:16" s="6" customFormat="1" hidden="1" x14ac:dyDescent="0.2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</row>
    <row r="787" spans="1:16" s="6" customFormat="1" hidden="1" x14ac:dyDescent="0.2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</row>
    <row r="788" spans="1:16" s="6" customFormat="1" hidden="1" x14ac:dyDescent="0.2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</row>
    <row r="789" spans="1:16" s="6" customFormat="1" hidden="1" x14ac:dyDescent="0.2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</row>
    <row r="790" spans="1:16" s="6" customFormat="1" hidden="1" x14ac:dyDescent="0.2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</row>
    <row r="791" spans="1:16" s="6" customFormat="1" hidden="1" x14ac:dyDescent="0.2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</row>
    <row r="792" spans="1:16" s="6" customFormat="1" hidden="1" x14ac:dyDescent="0.2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</row>
    <row r="793" spans="1:16" s="6" customFormat="1" hidden="1" x14ac:dyDescent="0.2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</row>
    <row r="794" spans="1:16" s="6" customFormat="1" hidden="1" x14ac:dyDescent="0.2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</row>
    <row r="795" spans="1:16" s="6" customFormat="1" hidden="1" x14ac:dyDescent="0.2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</row>
    <row r="796" spans="1:16" s="6" customFormat="1" hidden="1" x14ac:dyDescent="0.2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</row>
    <row r="797" spans="1:16" s="6" customFormat="1" hidden="1" x14ac:dyDescent="0.2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</row>
    <row r="798" spans="1:16" s="6" customFormat="1" hidden="1" x14ac:dyDescent="0.2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</row>
    <row r="799" spans="1:16" s="6" customFormat="1" hidden="1" x14ac:dyDescent="0.2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</row>
    <row r="800" spans="1:16" s="6" customFormat="1" hidden="1" x14ac:dyDescent="0.2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</row>
    <row r="801" spans="1:16" s="6" customFormat="1" hidden="1" x14ac:dyDescent="0.2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</row>
    <row r="802" spans="1:16" s="6" customFormat="1" hidden="1" x14ac:dyDescent="0.2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</row>
    <row r="803" spans="1:16" s="6" customFormat="1" hidden="1" x14ac:dyDescent="0.2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</row>
    <row r="804" spans="1:16" s="6" customFormat="1" hidden="1" x14ac:dyDescent="0.2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</row>
    <row r="805" spans="1:16" s="6" customFormat="1" hidden="1" x14ac:dyDescent="0.2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</row>
    <row r="806" spans="1:16" s="6" customFormat="1" hidden="1" x14ac:dyDescent="0.2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</row>
    <row r="807" spans="1:16" s="6" customFormat="1" hidden="1" x14ac:dyDescent="0.2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</row>
    <row r="808" spans="1:16" s="6" customFormat="1" hidden="1" x14ac:dyDescent="0.2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</row>
    <row r="809" spans="1:16" s="6" customFormat="1" hidden="1" x14ac:dyDescent="0.2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</row>
    <row r="810" spans="1:16" s="6" customFormat="1" hidden="1" x14ac:dyDescent="0.2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</row>
    <row r="811" spans="1:16" s="6" customFormat="1" hidden="1" x14ac:dyDescent="0.2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</row>
    <row r="812" spans="1:16" s="6" customFormat="1" hidden="1" x14ac:dyDescent="0.2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</row>
    <row r="813" spans="1:16" s="6" customFormat="1" hidden="1" x14ac:dyDescent="0.2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</row>
    <row r="814" spans="1:16" s="6" customFormat="1" hidden="1" x14ac:dyDescent="0.2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</row>
    <row r="815" spans="1:16" s="6" customFormat="1" hidden="1" x14ac:dyDescent="0.2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</row>
    <row r="816" spans="1:16" s="6" customFormat="1" hidden="1" x14ac:dyDescent="0.2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</row>
    <row r="817" spans="1:16" s="6" customFormat="1" hidden="1" x14ac:dyDescent="0.2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</row>
    <row r="818" spans="1:16" s="6" customFormat="1" hidden="1" x14ac:dyDescent="0.2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</row>
    <row r="819" spans="1:16" s="6" customFormat="1" hidden="1" x14ac:dyDescent="0.2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</row>
    <row r="820" spans="1:16" s="6" customFormat="1" hidden="1" x14ac:dyDescent="0.2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</row>
    <row r="821" spans="1:16" s="6" customFormat="1" hidden="1" x14ac:dyDescent="0.2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</row>
    <row r="822" spans="1:16" s="6" customFormat="1" hidden="1" x14ac:dyDescent="0.2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</row>
    <row r="823" spans="1:16" s="6" customFormat="1" hidden="1" x14ac:dyDescent="0.2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</row>
    <row r="824" spans="1:16" s="6" customFormat="1" hidden="1" x14ac:dyDescent="0.2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</row>
    <row r="825" spans="1:16" s="6" customFormat="1" hidden="1" x14ac:dyDescent="0.2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</row>
    <row r="826" spans="1:16" s="6" customFormat="1" hidden="1" x14ac:dyDescent="0.2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</row>
    <row r="827" spans="1:16" s="6" customFormat="1" hidden="1" x14ac:dyDescent="0.2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</row>
    <row r="828" spans="1:16" s="6" customFormat="1" hidden="1" x14ac:dyDescent="0.2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</row>
    <row r="829" spans="1:16" s="6" customFormat="1" hidden="1" x14ac:dyDescent="0.2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</row>
    <row r="830" spans="1:16" s="6" customFormat="1" hidden="1" x14ac:dyDescent="0.2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</row>
    <row r="831" spans="1:16" s="6" customFormat="1" hidden="1" x14ac:dyDescent="0.2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</row>
    <row r="832" spans="1:16" s="6" customFormat="1" hidden="1" x14ac:dyDescent="0.2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</row>
    <row r="833" spans="1:16" s="6" customFormat="1" hidden="1" x14ac:dyDescent="0.2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</row>
    <row r="834" spans="1:16" s="6" customFormat="1" hidden="1" x14ac:dyDescent="0.2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</row>
    <row r="835" spans="1:16" s="6" customFormat="1" hidden="1" x14ac:dyDescent="0.2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</row>
    <row r="836" spans="1:16" s="6" customFormat="1" hidden="1" x14ac:dyDescent="0.2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</row>
    <row r="837" spans="1:16" s="6" customFormat="1" hidden="1" x14ac:dyDescent="0.2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</row>
    <row r="838" spans="1:16" s="6" customFormat="1" hidden="1" x14ac:dyDescent="0.2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</row>
    <row r="839" spans="1:16" s="6" customFormat="1" hidden="1" x14ac:dyDescent="0.2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</row>
    <row r="840" spans="1:16" s="6" customFormat="1" hidden="1" x14ac:dyDescent="0.2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</row>
    <row r="841" spans="1:16" s="6" customFormat="1" hidden="1" x14ac:dyDescent="0.2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</row>
    <row r="842" spans="1:16" s="6" customFormat="1" hidden="1" x14ac:dyDescent="0.2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</row>
    <row r="843" spans="1:16" s="6" customFormat="1" hidden="1" x14ac:dyDescent="0.2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</row>
    <row r="844" spans="1:16" s="6" customFormat="1" hidden="1" x14ac:dyDescent="0.2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</row>
    <row r="845" spans="1:16" s="6" customFormat="1" hidden="1" x14ac:dyDescent="0.2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</row>
    <row r="846" spans="1:16" s="6" customFormat="1" hidden="1" x14ac:dyDescent="0.2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</row>
    <row r="847" spans="1:16" s="6" customFormat="1" hidden="1" x14ac:dyDescent="0.2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</row>
    <row r="848" spans="1:16" s="6" customFormat="1" hidden="1" x14ac:dyDescent="0.2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</row>
    <row r="849" spans="1:16" s="6" customFormat="1" hidden="1" x14ac:dyDescent="0.2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</row>
    <row r="850" spans="1:16" s="6" customFormat="1" hidden="1" x14ac:dyDescent="0.2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</row>
    <row r="851" spans="1:16" s="6" customFormat="1" hidden="1" x14ac:dyDescent="0.2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</row>
    <row r="852" spans="1:16" s="6" customFormat="1" hidden="1" x14ac:dyDescent="0.2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</row>
    <row r="853" spans="1:16" s="6" customFormat="1" hidden="1" x14ac:dyDescent="0.2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</row>
    <row r="854" spans="1:16" s="6" customFormat="1" hidden="1" x14ac:dyDescent="0.2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</row>
    <row r="855" spans="1:16" s="6" customFormat="1" hidden="1" x14ac:dyDescent="0.2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</row>
    <row r="856" spans="1:16" s="6" customFormat="1" hidden="1" x14ac:dyDescent="0.2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</row>
    <row r="857" spans="1:16" s="6" customFormat="1" hidden="1" x14ac:dyDescent="0.2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</row>
    <row r="858" spans="1:16" s="6" customFormat="1" hidden="1" x14ac:dyDescent="0.2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</row>
    <row r="859" spans="1:16" s="6" customFormat="1" hidden="1" x14ac:dyDescent="0.2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</row>
    <row r="860" spans="1:16" s="6" customFormat="1" hidden="1" x14ac:dyDescent="0.2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</row>
    <row r="861" spans="1:16" s="6" customFormat="1" hidden="1" x14ac:dyDescent="0.2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</row>
    <row r="862" spans="1:16" s="6" customFormat="1" hidden="1" x14ac:dyDescent="0.2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</row>
    <row r="863" spans="1:16" s="6" customFormat="1" hidden="1" x14ac:dyDescent="0.2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</row>
    <row r="864" spans="1:16" s="6" customFormat="1" hidden="1" x14ac:dyDescent="0.2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</row>
    <row r="865" spans="1:16" s="6" customFormat="1" hidden="1" x14ac:dyDescent="0.2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</row>
    <row r="866" spans="1:16" s="6" customFormat="1" hidden="1" x14ac:dyDescent="0.2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</row>
    <row r="867" spans="1:16" s="6" customFormat="1" hidden="1" x14ac:dyDescent="0.2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</row>
    <row r="868" spans="1:16" s="6" customFormat="1" hidden="1" x14ac:dyDescent="0.2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</row>
    <row r="869" spans="1:16" s="6" customFormat="1" hidden="1" x14ac:dyDescent="0.2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</row>
    <row r="870" spans="1:16" s="6" customFormat="1" hidden="1" x14ac:dyDescent="0.2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</row>
    <row r="871" spans="1:16" s="6" customFormat="1" hidden="1" x14ac:dyDescent="0.2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</row>
    <row r="872" spans="1:16" s="6" customFormat="1" hidden="1" x14ac:dyDescent="0.2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</row>
    <row r="873" spans="1:16" s="6" customFormat="1" hidden="1" x14ac:dyDescent="0.2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</row>
    <row r="874" spans="1:16" s="6" customFormat="1" hidden="1" x14ac:dyDescent="0.2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</row>
    <row r="875" spans="1:16" s="6" customFormat="1" hidden="1" x14ac:dyDescent="0.2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</row>
    <row r="876" spans="1:16" s="6" customFormat="1" hidden="1" x14ac:dyDescent="0.2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</row>
    <row r="877" spans="1:16" s="6" customFormat="1" hidden="1" x14ac:dyDescent="0.2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</row>
    <row r="878" spans="1:16" s="6" customFormat="1" hidden="1" x14ac:dyDescent="0.2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</row>
    <row r="879" spans="1:16" s="6" customFormat="1" hidden="1" x14ac:dyDescent="0.2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</row>
    <row r="880" spans="1:16" s="6" customFormat="1" hidden="1" x14ac:dyDescent="0.2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</row>
    <row r="881" spans="1:16" s="6" customFormat="1" hidden="1" x14ac:dyDescent="0.2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</row>
    <row r="882" spans="1:16" s="6" customFormat="1" hidden="1" x14ac:dyDescent="0.2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</row>
    <row r="883" spans="1:16" s="6" customFormat="1" hidden="1" x14ac:dyDescent="0.2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</row>
    <row r="884" spans="1:16" s="6" customFormat="1" hidden="1" x14ac:dyDescent="0.2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</row>
    <row r="885" spans="1:16" s="6" customFormat="1" hidden="1" x14ac:dyDescent="0.2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</row>
    <row r="886" spans="1:16" s="6" customFormat="1" hidden="1" x14ac:dyDescent="0.2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</row>
    <row r="887" spans="1:16" s="6" customFormat="1" hidden="1" x14ac:dyDescent="0.2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</row>
    <row r="888" spans="1:16" s="6" customFormat="1" hidden="1" x14ac:dyDescent="0.2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</row>
    <row r="889" spans="1:16" s="6" customFormat="1" hidden="1" x14ac:dyDescent="0.2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</row>
    <row r="890" spans="1:16" s="6" customFormat="1" hidden="1" x14ac:dyDescent="0.2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</row>
    <row r="891" spans="1:16" s="6" customFormat="1" hidden="1" x14ac:dyDescent="0.2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</row>
    <row r="892" spans="1:16" s="6" customFormat="1" hidden="1" x14ac:dyDescent="0.2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</row>
    <row r="893" spans="1:16" s="6" customFormat="1" hidden="1" x14ac:dyDescent="0.2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</row>
    <row r="894" spans="1:16" s="6" customFormat="1" hidden="1" x14ac:dyDescent="0.2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</row>
    <row r="895" spans="1:16" s="6" customFormat="1" hidden="1" x14ac:dyDescent="0.2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</row>
    <row r="896" spans="1:16" s="6" customFormat="1" hidden="1" x14ac:dyDescent="0.2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</row>
    <row r="897" spans="1:16" s="6" customFormat="1" hidden="1" x14ac:dyDescent="0.2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</row>
    <row r="898" spans="1:16" s="6" customFormat="1" hidden="1" x14ac:dyDescent="0.2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</row>
    <row r="899" spans="1:16" s="6" customFormat="1" hidden="1" x14ac:dyDescent="0.2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</row>
    <row r="900" spans="1:16" s="6" customFormat="1" hidden="1" x14ac:dyDescent="0.2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</row>
    <row r="901" spans="1:16" s="6" customFormat="1" hidden="1" x14ac:dyDescent="0.2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</row>
    <row r="902" spans="1:16" s="6" customFormat="1" hidden="1" x14ac:dyDescent="0.2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</row>
  </sheetData>
  <sheetProtection selectLockedCells="1"/>
  <dataConsolidate/>
  <mergeCells count="82">
    <mergeCell ref="D36:F36"/>
    <mergeCell ref="D50:F50"/>
    <mergeCell ref="D20:F20"/>
    <mergeCell ref="C22:F22"/>
    <mergeCell ref="B38:F38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C29:F29"/>
    <mergeCell ref="D30:F30"/>
    <mergeCell ref="D63:F63"/>
    <mergeCell ref="D54:F54"/>
    <mergeCell ref="B12:F12"/>
    <mergeCell ref="D60:F60"/>
    <mergeCell ref="D59:F59"/>
    <mergeCell ref="A8:F8"/>
    <mergeCell ref="C45:F45"/>
    <mergeCell ref="D14:F14"/>
    <mergeCell ref="D52:F52"/>
    <mergeCell ref="D31:F31"/>
    <mergeCell ref="D34:F34"/>
    <mergeCell ref="D21:F21"/>
    <mergeCell ref="D13:F13"/>
    <mergeCell ref="D15:F15"/>
    <mergeCell ref="B23:F23"/>
    <mergeCell ref="D17:F17"/>
    <mergeCell ref="D19:F19"/>
    <mergeCell ref="D18:F18"/>
    <mergeCell ref="C27:F27"/>
    <mergeCell ref="D51:F51"/>
    <mergeCell ref="B53:F53"/>
    <mergeCell ref="D68:F68"/>
    <mergeCell ref="D57:F57"/>
    <mergeCell ref="D58:F58"/>
    <mergeCell ref="C40:F40"/>
    <mergeCell ref="D66:F66"/>
    <mergeCell ref="D62:F62"/>
    <mergeCell ref="D67:F67"/>
    <mergeCell ref="D61:F61"/>
    <mergeCell ref="B28:F28"/>
    <mergeCell ref="D37:F37"/>
    <mergeCell ref="D33:F33"/>
    <mergeCell ref="D39:F39"/>
    <mergeCell ref="D35:F35"/>
    <mergeCell ref="B65:F65"/>
    <mergeCell ref="A47:J47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2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21" customWidth="1"/>
    <col min="2" max="2" width="17" style="21" customWidth="1"/>
    <col min="3" max="3" width="68.140625" style="21" customWidth="1"/>
    <col min="4" max="6" width="12.5703125" style="21" hidden="1" customWidth="1"/>
    <col min="7" max="16384" width="9.140625" style="21" hidden="1"/>
  </cols>
  <sheetData>
    <row r="1" spans="1:3" ht="51" customHeight="1" x14ac:dyDescent="0.25">
      <c r="A1" s="312" t="s">
        <v>141</v>
      </c>
      <c r="B1" s="312"/>
      <c r="C1" s="312"/>
    </row>
    <row r="2" spans="1:3" ht="32.1" customHeight="1" x14ac:dyDescent="0.25">
      <c r="A2" s="111" t="s">
        <v>8</v>
      </c>
      <c r="B2" s="112"/>
      <c r="C2" s="118"/>
    </row>
    <row r="3" spans="1:3" ht="20.100000000000001" customHeight="1" x14ac:dyDescent="0.25">
      <c r="A3" s="111" t="s">
        <v>9</v>
      </c>
      <c r="B3" s="49">
        <f>'CSS '!G2</f>
        <v>42479</v>
      </c>
      <c r="C3" s="77"/>
    </row>
    <row r="4" spans="1:3" ht="15" customHeight="1" x14ac:dyDescent="0.25">
      <c r="A4" s="54"/>
      <c r="B4" s="54"/>
      <c r="C4" s="55"/>
    </row>
    <row r="5" spans="1:3" ht="15" customHeight="1" x14ac:dyDescent="0.25">
      <c r="A5" s="113" t="s">
        <v>93</v>
      </c>
      <c r="B5" s="113" t="s">
        <v>94</v>
      </c>
      <c r="C5" s="114" t="s">
        <v>103</v>
      </c>
    </row>
    <row r="6" spans="1:3" ht="15" x14ac:dyDescent="0.2">
      <c r="A6" s="103"/>
      <c r="B6" s="104"/>
      <c r="C6" s="105"/>
    </row>
    <row r="7" spans="1:3" ht="15" x14ac:dyDescent="0.2">
      <c r="A7" s="106"/>
      <c r="B7" s="107"/>
      <c r="C7" s="105"/>
    </row>
    <row r="8" spans="1:3" ht="15" x14ac:dyDescent="0.2">
      <c r="A8" s="108"/>
      <c r="B8" s="107"/>
      <c r="C8" s="109"/>
    </row>
    <row r="9" spans="1:3" ht="15" x14ac:dyDescent="0.2">
      <c r="A9" s="108"/>
      <c r="B9" s="107"/>
      <c r="C9" s="109"/>
    </row>
    <row r="10" spans="1:3" ht="15" x14ac:dyDescent="0.2">
      <c r="A10" s="108"/>
      <c r="B10" s="107"/>
      <c r="C10" s="109"/>
    </row>
    <row r="11" spans="1:3" ht="15" x14ac:dyDescent="0.2">
      <c r="A11" s="108"/>
      <c r="B11" s="107"/>
      <c r="C11" s="109"/>
    </row>
    <row r="12" spans="1:3" ht="15" x14ac:dyDescent="0.2">
      <c r="A12" s="108"/>
      <c r="B12" s="107"/>
      <c r="C12" s="109"/>
    </row>
    <row r="13" spans="1:3" ht="15" x14ac:dyDescent="0.2">
      <c r="A13" s="108"/>
      <c r="B13" s="107"/>
      <c r="C13" s="109"/>
    </row>
    <row r="14" spans="1:3" ht="15" x14ac:dyDescent="0.2">
      <c r="A14" s="108"/>
      <c r="B14" s="107"/>
      <c r="C14" s="109"/>
    </row>
    <row r="15" spans="1:3" ht="15" x14ac:dyDescent="0.2">
      <c r="A15" s="108"/>
      <c r="B15" s="107"/>
      <c r="C15" s="109"/>
    </row>
    <row r="16" spans="1:3" ht="15" x14ac:dyDescent="0.2">
      <c r="A16" s="108"/>
      <c r="B16" s="107"/>
      <c r="C16" s="109"/>
    </row>
    <row r="17" spans="1:4" ht="15" x14ac:dyDescent="0.2">
      <c r="A17" s="108"/>
      <c r="B17" s="107"/>
      <c r="C17" s="109"/>
    </row>
    <row r="18" spans="1:4" ht="15" x14ac:dyDescent="0.2">
      <c r="A18" s="108"/>
      <c r="B18" s="107"/>
      <c r="C18" s="109"/>
    </row>
    <row r="19" spans="1:4" ht="15" x14ac:dyDescent="0.2">
      <c r="A19" s="108"/>
      <c r="B19" s="107"/>
      <c r="C19" s="109"/>
    </row>
    <row r="20" spans="1:4" ht="15.75" thickBot="1" x14ac:dyDescent="0.25">
      <c r="A20" s="110"/>
      <c r="B20" s="107"/>
      <c r="C20" s="109"/>
    </row>
    <row r="21" spans="1:4" ht="15" customHeight="1" thickBot="1" x14ac:dyDescent="0.3">
      <c r="A21" s="61" t="s">
        <v>87</v>
      </c>
      <c r="B21" s="115">
        <f>SUM(B6:B20)</f>
        <v>0</v>
      </c>
      <c r="C21" s="116"/>
      <c r="D21" s="22"/>
    </row>
    <row r="22" spans="1:4" ht="16.5" thickBot="1" x14ac:dyDescent="0.3">
      <c r="A22" s="119"/>
      <c r="B22" s="117">
        <f>IF(B21='RER Summary'!P64,'RER Summary'!P64,"ERROR")</f>
        <v>0</v>
      </c>
      <c r="C22" s="55"/>
    </row>
    <row r="23" spans="1:4" ht="15" x14ac:dyDescent="0.2">
      <c r="A23" s="55"/>
      <c r="B23" s="55"/>
      <c r="C23" s="55"/>
    </row>
    <row r="24" spans="1:4" ht="48.75" customHeight="1" x14ac:dyDescent="0.2">
      <c r="A24" s="414" t="s">
        <v>142</v>
      </c>
      <c r="B24" s="414"/>
      <c r="C24" s="414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2"/>
  <sheetViews>
    <sheetView workbookViewId="0">
      <selection sqref="A1:D2"/>
    </sheetView>
  </sheetViews>
  <sheetFormatPr defaultColWidth="0" defaultRowHeight="12.75" zeroHeight="1" x14ac:dyDescent="0.2"/>
  <cols>
    <col min="1" max="1" width="3.42578125" customWidth="1"/>
    <col min="2" max="2" width="41.85546875" customWidth="1"/>
    <col min="3" max="3" width="12.85546875" style="98" customWidth="1"/>
    <col min="4" max="4" width="18.42578125" style="98" customWidth="1"/>
    <col min="5" max="6" width="9.140625" hidden="1" customWidth="1"/>
    <col min="7" max="7" width="26.140625" hidden="1" customWidth="1"/>
    <col min="8" max="8" width="9.140625" hidden="1" customWidth="1"/>
    <col min="9" max="9" width="19.5703125" hidden="1" customWidth="1"/>
    <col min="10" max="10" width="9.140625" hidden="1" customWidth="1"/>
    <col min="11" max="11" width="17.42578125" hidden="1" customWidth="1"/>
    <col min="12" max="13" width="9.140625" hidden="1" customWidth="1"/>
    <col min="14" max="14" width="10" hidden="1" customWidth="1"/>
    <col min="15" max="15" width="23" hidden="1" customWidth="1"/>
    <col min="16" max="18" width="9.140625" hidden="1" customWidth="1"/>
    <col min="19" max="19" width="13.85546875" hidden="1" customWidth="1"/>
    <col min="20" max="16384" width="9.140625" hidden="1"/>
  </cols>
  <sheetData>
    <row r="1" spans="1:8" ht="25.5" customHeight="1" x14ac:dyDescent="0.2">
      <c r="A1" s="412" t="s">
        <v>241</v>
      </c>
      <c r="B1" s="412"/>
      <c r="C1" s="412"/>
      <c r="D1" s="412"/>
      <c r="E1" s="90"/>
      <c r="F1" s="90"/>
    </row>
    <row r="2" spans="1:8" ht="17.25" customHeight="1" x14ac:dyDescent="0.2">
      <c r="A2" s="412"/>
      <c r="B2" s="412"/>
      <c r="C2" s="412"/>
      <c r="D2" s="412"/>
      <c r="E2" s="90"/>
      <c r="F2" s="90"/>
    </row>
    <row r="3" spans="1:8" ht="30" x14ac:dyDescent="0.2">
      <c r="A3" s="55"/>
      <c r="B3" s="55"/>
      <c r="C3" s="91" t="s">
        <v>218</v>
      </c>
      <c r="D3" s="96"/>
      <c r="E3" s="34"/>
      <c r="F3" s="34"/>
      <c r="G3" s="34"/>
      <c r="H3" s="34"/>
    </row>
    <row r="4" spans="1:8" ht="7.7" customHeight="1" x14ac:dyDescent="0.2">
      <c r="A4" s="55"/>
      <c r="B4" s="55"/>
      <c r="C4" s="99"/>
      <c r="D4" s="96"/>
      <c r="E4" s="34"/>
      <c r="F4" s="34"/>
      <c r="G4" s="34"/>
      <c r="H4" s="34"/>
    </row>
    <row r="5" spans="1:8" ht="15" x14ac:dyDescent="0.2">
      <c r="A5" s="57" t="s">
        <v>221</v>
      </c>
      <c r="B5" s="57"/>
      <c r="C5" s="57"/>
      <c r="D5" s="97"/>
      <c r="E5" s="38"/>
      <c r="F5" s="38"/>
      <c r="G5" s="38"/>
    </row>
    <row r="6" spans="1:8" ht="19.350000000000001" customHeight="1" x14ac:dyDescent="0.2">
      <c r="A6" s="55"/>
      <c r="B6" s="57" t="s">
        <v>216</v>
      </c>
      <c r="C6" s="92">
        <f>792457-0.5</f>
        <v>792456.5</v>
      </c>
      <c r="D6" s="97"/>
      <c r="E6" s="38"/>
      <c r="F6" s="38"/>
      <c r="G6" s="38"/>
    </row>
    <row r="7" spans="1:8" ht="15" x14ac:dyDescent="0.2">
      <c r="A7" s="55"/>
      <c r="B7" s="57" t="s">
        <v>124</v>
      </c>
      <c r="C7" s="93">
        <v>145893</v>
      </c>
      <c r="D7" s="97"/>
      <c r="E7" s="38"/>
      <c r="F7" s="38"/>
      <c r="G7" s="38"/>
    </row>
    <row r="8" spans="1:8" ht="15" x14ac:dyDescent="0.2">
      <c r="A8" s="55"/>
      <c r="B8" s="57" t="s">
        <v>217</v>
      </c>
      <c r="C8" s="92">
        <f>SUM(C6:C7)</f>
        <v>938349.5</v>
      </c>
      <c r="D8" s="97"/>
      <c r="E8" s="38"/>
      <c r="F8" s="38"/>
      <c r="G8" s="38"/>
    </row>
    <row r="9" spans="1:8" ht="15" x14ac:dyDescent="0.2">
      <c r="A9" s="55"/>
      <c r="B9" s="57"/>
      <c r="C9" s="92"/>
      <c r="D9" s="97"/>
      <c r="E9" s="38"/>
      <c r="F9" s="38"/>
      <c r="G9" s="38"/>
    </row>
    <row r="10" spans="1:8" ht="15" x14ac:dyDescent="0.2">
      <c r="A10" s="57" t="s">
        <v>223</v>
      </c>
      <c r="B10" s="57"/>
      <c r="C10" s="92"/>
      <c r="D10" s="97"/>
      <c r="E10" s="38"/>
      <c r="F10" s="38"/>
      <c r="G10" s="38"/>
    </row>
    <row r="11" spans="1:8" ht="15" x14ac:dyDescent="0.2">
      <c r="A11" s="55" t="s">
        <v>224</v>
      </c>
      <c r="B11" s="57"/>
      <c r="C11" s="92"/>
      <c r="D11" s="97"/>
      <c r="E11" s="38"/>
      <c r="F11" s="38"/>
      <c r="G11" s="38"/>
    </row>
    <row r="12" spans="1:8" ht="19.350000000000001" customHeight="1" x14ac:dyDescent="0.2">
      <c r="A12" s="55"/>
      <c r="B12" s="57" t="s">
        <v>86</v>
      </c>
      <c r="C12" s="94">
        <f>5152-0.3</f>
        <v>5151.7</v>
      </c>
      <c r="D12" s="97"/>
      <c r="E12" s="38"/>
      <c r="F12" s="38"/>
      <c r="G12" s="38"/>
    </row>
    <row r="13" spans="1:8" ht="19.350000000000001" customHeight="1" x14ac:dyDescent="0.2">
      <c r="A13" s="55"/>
      <c r="B13" s="57"/>
      <c r="C13" s="93"/>
      <c r="D13" s="97"/>
      <c r="E13" s="38"/>
      <c r="F13" s="38"/>
      <c r="G13" s="38"/>
    </row>
    <row r="14" spans="1:8" ht="15" x14ac:dyDescent="0.2">
      <c r="A14" s="55" t="s">
        <v>219</v>
      </c>
      <c r="B14" s="57"/>
      <c r="C14" s="94">
        <f>SUM(C8:C12)</f>
        <v>943501.2</v>
      </c>
      <c r="D14" s="97"/>
      <c r="E14" s="38"/>
      <c r="F14" s="38"/>
      <c r="G14" s="38"/>
    </row>
    <row r="15" spans="1:8" ht="15" x14ac:dyDescent="0.2">
      <c r="A15" s="55"/>
      <c r="B15" s="57"/>
      <c r="C15" s="94"/>
      <c r="D15" s="97"/>
      <c r="E15" s="38"/>
      <c r="F15" s="38"/>
      <c r="G15" s="38"/>
    </row>
    <row r="16" spans="1:8" ht="15" x14ac:dyDescent="0.2">
      <c r="A16" s="55"/>
      <c r="B16" s="57"/>
      <c r="C16" s="92"/>
      <c r="D16" s="97"/>
      <c r="E16" s="38"/>
      <c r="F16" s="38"/>
      <c r="G16" s="38"/>
    </row>
    <row r="17" spans="1:7" ht="15" x14ac:dyDescent="0.2">
      <c r="A17" s="57" t="s">
        <v>220</v>
      </c>
      <c r="B17" s="57"/>
      <c r="C17" s="92"/>
      <c r="D17" s="97"/>
      <c r="E17" s="38"/>
      <c r="F17" s="38"/>
      <c r="G17" s="38"/>
    </row>
    <row r="18" spans="1:7" ht="19.350000000000001" customHeight="1" x14ac:dyDescent="0.2">
      <c r="A18" s="55"/>
      <c r="B18" s="57" t="s">
        <v>216</v>
      </c>
      <c r="C18" s="92">
        <v>-792457</v>
      </c>
      <c r="D18" s="97"/>
      <c r="E18" s="38"/>
      <c r="F18" s="38"/>
      <c r="G18" s="38"/>
    </row>
    <row r="19" spans="1:7" ht="15" x14ac:dyDescent="0.2">
      <c r="A19" s="55"/>
      <c r="B19" s="57" t="s">
        <v>86</v>
      </c>
      <c r="C19" s="93">
        <v>-151044</v>
      </c>
      <c r="D19" s="97"/>
      <c r="E19" s="38"/>
      <c r="F19" s="38"/>
      <c r="G19" s="38"/>
    </row>
    <row r="20" spans="1:7" ht="15" x14ac:dyDescent="0.2">
      <c r="A20" s="55" t="s">
        <v>222</v>
      </c>
      <c r="B20" s="57"/>
      <c r="C20" s="92">
        <f>SUM(C18:C19)</f>
        <v>-943501</v>
      </c>
      <c r="D20" s="97"/>
      <c r="E20" s="38"/>
      <c r="F20" s="38"/>
      <c r="G20" s="38"/>
    </row>
    <row r="21" spans="1:7" ht="15" x14ac:dyDescent="0.2">
      <c r="A21" s="55"/>
      <c r="B21" s="57"/>
      <c r="C21" s="92"/>
      <c r="D21" s="97"/>
      <c r="E21" s="38"/>
      <c r="F21" s="38"/>
      <c r="G21" s="38"/>
    </row>
    <row r="22" spans="1:7" ht="15" x14ac:dyDescent="0.2">
      <c r="A22" s="55"/>
      <c r="B22" s="57"/>
      <c r="C22" s="57"/>
      <c r="D22" s="55"/>
    </row>
    <row r="23" spans="1:7" ht="15.75" thickBot="1" x14ac:dyDescent="0.25">
      <c r="A23" s="57" t="s">
        <v>225</v>
      </c>
      <c r="B23" s="57"/>
      <c r="C23" s="95">
        <f>+C14+C20</f>
        <v>0.19999999995343387</v>
      </c>
      <c r="D23" s="55"/>
    </row>
    <row r="24" spans="1:7" ht="15.75" thickTop="1" x14ac:dyDescent="0.2">
      <c r="A24" s="55"/>
      <c r="B24" s="55"/>
      <c r="C24" s="55"/>
      <c r="D24" s="55"/>
    </row>
    <row r="25" spans="1:7" ht="15" x14ac:dyDescent="0.2">
      <c r="A25" s="55"/>
      <c r="B25" s="55"/>
      <c r="C25" s="55"/>
      <c r="D25" s="55"/>
    </row>
    <row r="26" spans="1:7" ht="15" x14ac:dyDescent="0.2">
      <c r="A26" s="55"/>
      <c r="B26" s="55"/>
      <c r="C26" s="55"/>
      <c r="D26" s="55"/>
    </row>
    <row r="27" spans="1:7" ht="15" x14ac:dyDescent="0.2">
      <c r="A27" s="55"/>
      <c r="B27" s="55"/>
      <c r="C27" s="55"/>
      <c r="D27" s="55"/>
    </row>
    <row r="28" spans="1:7" ht="15" x14ac:dyDescent="0.2">
      <c r="A28" s="55"/>
      <c r="B28" s="55"/>
      <c r="C28" s="55"/>
      <c r="D28" s="55"/>
    </row>
    <row r="29" spans="1:7" ht="15" x14ac:dyDescent="0.2">
      <c r="A29" s="57" t="s">
        <v>226</v>
      </c>
      <c r="B29" s="57"/>
      <c r="C29" s="55"/>
      <c r="D29" s="55"/>
    </row>
    <row r="30" spans="1:7" ht="15" x14ac:dyDescent="0.2">
      <c r="A30" s="55"/>
      <c r="B30" s="57" t="s">
        <v>227</v>
      </c>
      <c r="C30" s="57"/>
      <c r="D30" s="57"/>
    </row>
    <row r="31" spans="1:7" ht="15" x14ac:dyDescent="0.2">
      <c r="A31" s="55"/>
      <c r="B31" s="57" t="s">
        <v>228</v>
      </c>
      <c r="C31" s="57"/>
      <c r="D31" s="57"/>
    </row>
    <row r="32" spans="1:7" ht="15" x14ac:dyDescent="0.2">
      <c r="A32" s="55"/>
      <c r="B32" s="57" t="s">
        <v>229</v>
      </c>
      <c r="C32" s="55"/>
      <c r="D32" s="55"/>
    </row>
  </sheetData>
  <sheetProtection sheet="1" objects="1" scenarios="1" selectLockedCells="1"/>
  <mergeCells count="1">
    <mergeCell ref="A1:D2"/>
  </mergeCells>
  <pageMargins left="0.95" right="0.4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41"/>
  <sheetViews>
    <sheetView workbookViewId="0">
      <selection activeCell="E24" sqref="E24"/>
    </sheetView>
  </sheetViews>
  <sheetFormatPr defaultRowHeight="12.75" x14ac:dyDescent="0.2"/>
  <cols>
    <col min="2" max="2" width="13.85546875" customWidth="1"/>
    <col min="6" max="6" width="14.85546875" customWidth="1"/>
  </cols>
  <sheetData>
    <row r="1" spans="2:6" x14ac:dyDescent="0.2">
      <c r="B1" s="38">
        <v>14769344.183999998</v>
      </c>
    </row>
    <row r="2" spans="2:6" x14ac:dyDescent="0.2">
      <c r="B2" s="38">
        <v>72154756</v>
      </c>
    </row>
    <row r="3" spans="2:6" x14ac:dyDescent="0.2">
      <c r="B3" s="38">
        <v>15937593.867000001</v>
      </c>
    </row>
    <row r="4" spans="2:6" x14ac:dyDescent="0.2">
      <c r="B4" s="38">
        <v>1746489.8499999999</v>
      </c>
    </row>
    <row r="5" spans="2:6" x14ac:dyDescent="0.2">
      <c r="B5" s="38">
        <v>23714730.214000002</v>
      </c>
    </row>
    <row r="6" spans="2:6" x14ac:dyDescent="0.2">
      <c r="B6" s="38">
        <v>10159701</v>
      </c>
    </row>
    <row r="7" spans="2:6" x14ac:dyDescent="0.2">
      <c r="B7" s="38">
        <v>33933485</v>
      </c>
    </row>
    <row r="8" spans="2:6" x14ac:dyDescent="0.2">
      <c r="B8" s="38">
        <v>1132194</v>
      </c>
    </row>
    <row r="9" spans="2:6" x14ac:dyDescent="0.2">
      <c r="B9" s="38">
        <v>1547182.36</v>
      </c>
    </row>
    <row r="10" spans="2:6" x14ac:dyDescent="0.2">
      <c r="B10" s="38">
        <v>1523921.8699999999</v>
      </c>
    </row>
    <row r="11" spans="2:6" x14ac:dyDescent="0.2">
      <c r="B11" s="38">
        <v>2791725.1</v>
      </c>
      <c r="F11" s="41"/>
    </row>
    <row r="12" spans="2:6" x14ac:dyDescent="0.2">
      <c r="B12" s="38">
        <v>149454</v>
      </c>
      <c r="F12" s="41"/>
    </row>
    <row r="13" spans="2:6" x14ac:dyDescent="0.2">
      <c r="B13" s="38">
        <v>343237.32</v>
      </c>
      <c r="F13" s="41"/>
    </row>
    <row r="14" spans="2:6" x14ac:dyDescent="0.2">
      <c r="B14" s="38">
        <v>395626.2</v>
      </c>
      <c r="F14" s="41"/>
    </row>
    <row r="15" spans="2:6" x14ac:dyDescent="0.2">
      <c r="B15" s="38">
        <v>8014067.75</v>
      </c>
    </row>
    <row r="16" spans="2:6" x14ac:dyDescent="0.2">
      <c r="B16" s="38">
        <v>516103.5</v>
      </c>
    </row>
    <row r="17" spans="2:3" x14ac:dyDescent="0.2">
      <c r="B17" s="38">
        <v>7761417.2039999999</v>
      </c>
    </row>
    <row r="18" spans="2:3" x14ac:dyDescent="0.2">
      <c r="B18" s="38">
        <v>7282265</v>
      </c>
    </row>
    <row r="19" spans="2:3" x14ac:dyDescent="0.2">
      <c r="B19" s="38">
        <v>10873.199999999999</v>
      </c>
    </row>
    <row r="20" spans="2:3" x14ac:dyDescent="0.2">
      <c r="B20" s="38">
        <v>22978.799999999999</v>
      </c>
    </row>
    <row r="21" spans="2:3" x14ac:dyDescent="0.2">
      <c r="B21" s="38">
        <v>4164140.5</v>
      </c>
    </row>
    <row r="22" spans="2:3" x14ac:dyDescent="0.2">
      <c r="B22" s="38">
        <v>4485538.2450000001</v>
      </c>
    </row>
    <row r="23" spans="2:3" x14ac:dyDescent="0.2">
      <c r="B23" s="38">
        <v>21400857</v>
      </c>
    </row>
    <row r="24" spans="2:3" x14ac:dyDescent="0.2">
      <c r="B24" s="38">
        <v>717910.25</v>
      </c>
    </row>
    <row r="25" spans="2:3" x14ac:dyDescent="0.2">
      <c r="B25" s="38">
        <v>1423050</v>
      </c>
    </row>
    <row r="27" spans="2:3" x14ac:dyDescent="0.2">
      <c r="B27" s="38">
        <v>26601367.816</v>
      </c>
      <c r="C27" s="38"/>
    </row>
    <row r="28" spans="2:3" x14ac:dyDescent="0.2">
      <c r="B28" s="38">
        <v>120281157.133</v>
      </c>
      <c r="C28" s="38"/>
    </row>
    <row r="29" spans="2:3" x14ac:dyDescent="0.2">
      <c r="B29" s="38">
        <v>3243481.15</v>
      </c>
      <c r="C29" s="38"/>
    </row>
    <row r="30" spans="2:3" x14ac:dyDescent="0.2">
      <c r="B30" s="38">
        <v>27175248.786000002</v>
      </c>
      <c r="C30" s="38"/>
    </row>
    <row r="31" spans="2:3" x14ac:dyDescent="0.2">
      <c r="B31" s="38">
        <v>3730981.13</v>
      </c>
      <c r="C31" s="38"/>
    </row>
    <row r="32" spans="2:3" x14ac:dyDescent="0.2">
      <c r="B32" s="38">
        <v>27397018.540000003</v>
      </c>
      <c r="C32" s="38"/>
    </row>
    <row r="33" spans="2:3" x14ac:dyDescent="0.2">
      <c r="B33" s="38">
        <v>9435230.5960000008</v>
      </c>
      <c r="C33" s="38"/>
    </row>
    <row r="34" spans="2:3" x14ac:dyDescent="0.2">
      <c r="B34" s="38">
        <v>5377384.6799999997</v>
      </c>
      <c r="C34" s="38"/>
    </row>
    <row r="35" spans="2:3" x14ac:dyDescent="0.2">
      <c r="B35" s="38">
        <v>1582504.8</v>
      </c>
      <c r="C35" s="38"/>
    </row>
    <row r="36" spans="2:3" x14ac:dyDescent="0.2">
      <c r="B36" s="38">
        <v>1414247.2500000002</v>
      </c>
      <c r="C36" s="38"/>
    </row>
    <row r="37" spans="2:3" x14ac:dyDescent="0.2">
      <c r="B37" s="38">
        <v>1204241.5</v>
      </c>
      <c r="C37" s="38"/>
    </row>
    <row r="38" spans="2:3" x14ac:dyDescent="0.2">
      <c r="B38" s="38">
        <v>130213.2</v>
      </c>
      <c r="C38" s="38"/>
    </row>
    <row r="39" spans="2:3" x14ac:dyDescent="0.2">
      <c r="B39" s="38">
        <v>2242229.5</v>
      </c>
      <c r="C39" s="38"/>
    </row>
    <row r="40" spans="2:3" x14ac:dyDescent="0.2">
      <c r="B40" s="38">
        <v>6813046.7549999999</v>
      </c>
      <c r="C40" s="38"/>
    </row>
    <row r="41" spans="2:3" x14ac:dyDescent="0.2">
      <c r="B41" s="38">
        <v>2153730.75</v>
      </c>
      <c r="C41" s="3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2"/>
  <sheetViews>
    <sheetView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G8" sqref="G8"/>
    </sheetView>
  </sheetViews>
  <sheetFormatPr defaultRowHeight="12.75" x14ac:dyDescent="0.2"/>
  <cols>
    <col min="2" max="2" width="41.42578125" bestFit="1" customWidth="1"/>
    <col min="3" max="3" width="16.140625" customWidth="1"/>
    <col min="4" max="4" width="13.85546875" customWidth="1"/>
    <col min="5" max="5" width="15" customWidth="1"/>
  </cols>
  <sheetData>
    <row r="1" spans="2:3" ht="13.5" thickBot="1" x14ac:dyDescent="0.25"/>
    <row r="2" spans="2:3" ht="13.5" thickBot="1" x14ac:dyDescent="0.25">
      <c r="B2" s="43" t="s">
        <v>233</v>
      </c>
      <c r="C2" s="44"/>
    </row>
    <row r="3" spans="2:3" x14ac:dyDescent="0.2">
      <c r="B3" s="42" t="s">
        <v>166</v>
      </c>
      <c r="C3" s="38">
        <v>14769344.183999998</v>
      </c>
    </row>
    <row r="4" spans="2:3" x14ac:dyDescent="0.2">
      <c r="B4" s="42" t="s">
        <v>167</v>
      </c>
      <c r="C4" s="38">
        <v>72154756</v>
      </c>
    </row>
    <row r="5" spans="2:3" x14ac:dyDescent="0.2">
      <c r="B5" s="42" t="s">
        <v>230</v>
      </c>
      <c r="C5" s="38">
        <v>15937593.867000001</v>
      </c>
    </row>
    <row r="6" spans="2:3" x14ac:dyDescent="0.2">
      <c r="B6" t="s">
        <v>168</v>
      </c>
      <c r="C6" s="38">
        <v>1746489.8499999999</v>
      </c>
    </row>
    <row r="7" spans="2:3" x14ac:dyDescent="0.2">
      <c r="B7" s="42" t="s">
        <v>169</v>
      </c>
      <c r="C7" s="38">
        <v>23714730.214000002</v>
      </c>
    </row>
    <row r="8" spans="2:3" x14ac:dyDescent="0.2">
      <c r="B8" s="42" t="s">
        <v>170</v>
      </c>
      <c r="C8" s="38">
        <v>10159701</v>
      </c>
    </row>
    <row r="9" spans="2:3" x14ac:dyDescent="0.2">
      <c r="B9" t="s">
        <v>171</v>
      </c>
      <c r="C9" s="38">
        <v>33933485</v>
      </c>
    </row>
    <row r="10" spans="2:3" x14ac:dyDescent="0.2">
      <c r="B10" s="42" t="s">
        <v>172</v>
      </c>
      <c r="C10" s="38">
        <v>1132194</v>
      </c>
    </row>
    <row r="11" spans="2:3" x14ac:dyDescent="0.2">
      <c r="B11" s="42" t="s">
        <v>173</v>
      </c>
      <c r="C11" s="38">
        <v>1547182.36</v>
      </c>
    </row>
    <row r="12" spans="2:3" x14ac:dyDescent="0.2">
      <c r="B12" s="42" t="s">
        <v>174</v>
      </c>
      <c r="C12" s="38">
        <v>1523921.8699999999</v>
      </c>
    </row>
    <row r="13" spans="2:3" x14ac:dyDescent="0.2">
      <c r="B13" s="42" t="s">
        <v>175</v>
      </c>
      <c r="C13" s="38">
        <v>2791725.1</v>
      </c>
    </row>
    <row r="14" spans="2:3" x14ac:dyDescent="0.2">
      <c r="B14" t="s">
        <v>176</v>
      </c>
      <c r="C14" s="38">
        <v>149454</v>
      </c>
    </row>
    <row r="15" spans="2:3" x14ac:dyDescent="0.2">
      <c r="B15" t="s">
        <v>177</v>
      </c>
      <c r="C15" s="38">
        <v>343237.32</v>
      </c>
    </row>
    <row r="16" spans="2:3" x14ac:dyDescent="0.2">
      <c r="B16" t="s">
        <v>178</v>
      </c>
      <c r="C16" s="38">
        <v>395626.2</v>
      </c>
    </row>
    <row r="17" spans="1:5" x14ac:dyDescent="0.2">
      <c r="B17" t="s">
        <v>179</v>
      </c>
      <c r="C17" s="38">
        <v>8014067.75</v>
      </c>
    </row>
    <row r="18" spans="1:5" x14ac:dyDescent="0.2">
      <c r="B18" t="s">
        <v>180</v>
      </c>
      <c r="C18" s="38">
        <v>516103.5</v>
      </c>
    </row>
    <row r="19" spans="1:5" x14ac:dyDescent="0.2">
      <c r="B19" s="42" t="s">
        <v>181</v>
      </c>
      <c r="C19" s="38">
        <v>7761417.2039999999</v>
      </c>
    </row>
    <row r="20" spans="1:5" x14ac:dyDescent="0.2">
      <c r="B20" s="42" t="s">
        <v>182</v>
      </c>
      <c r="C20" s="38">
        <v>7282265</v>
      </c>
    </row>
    <row r="21" spans="1:5" x14ac:dyDescent="0.2">
      <c r="B21" s="42" t="s">
        <v>183</v>
      </c>
      <c r="C21" s="38">
        <v>10873.199999999999</v>
      </c>
    </row>
    <row r="22" spans="1:5" x14ac:dyDescent="0.2">
      <c r="B22" s="42" t="s">
        <v>184</v>
      </c>
      <c r="C22" s="38">
        <v>22978.799999999999</v>
      </c>
    </row>
    <row r="23" spans="1:5" x14ac:dyDescent="0.2">
      <c r="B23" t="s">
        <v>185</v>
      </c>
      <c r="C23" s="38">
        <v>4164140.5</v>
      </c>
    </row>
    <row r="24" spans="1:5" x14ac:dyDescent="0.2">
      <c r="B24" s="42" t="s">
        <v>186</v>
      </c>
      <c r="C24" s="38">
        <v>4485538.2450000001</v>
      </c>
    </row>
    <row r="25" spans="1:5" x14ac:dyDescent="0.2">
      <c r="B25" s="42" t="s">
        <v>187</v>
      </c>
      <c r="C25" s="38">
        <v>21400857</v>
      </c>
    </row>
    <row r="26" spans="1:5" x14ac:dyDescent="0.2">
      <c r="B26" s="42" t="s">
        <v>188</v>
      </c>
      <c r="C26" s="40">
        <v>717910.25</v>
      </c>
    </row>
    <row r="27" spans="1:5" x14ac:dyDescent="0.2">
      <c r="B27" s="42" t="s">
        <v>189</v>
      </c>
      <c r="C27" s="39">
        <v>1423050</v>
      </c>
    </row>
    <row r="28" spans="1:5" x14ac:dyDescent="0.2">
      <c r="B28" s="42" t="s">
        <v>232</v>
      </c>
      <c r="C28" s="38">
        <f>SUM(C3:C27)</f>
        <v>236098642.414</v>
      </c>
    </row>
    <row r="30" spans="1:5" ht="13.5" thickBot="1" x14ac:dyDescent="0.25"/>
    <row r="31" spans="1:5" ht="13.5" thickBot="1" x14ac:dyDescent="0.25">
      <c r="B31" s="47" t="s">
        <v>235</v>
      </c>
    </row>
    <row r="32" spans="1:5" x14ac:dyDescent="0.2">
      <c r="A32" s="35" t="s">
        <v>234</v>
      </c>
      <c r="B32" s="42" t="s">
        <v>166</v>
      </c>
      <c r="C32" s="38">
        <v>26601367.816</v>
      </c>
      <c r="E32" s="38">
        <v>26601367.816</v>
      </c>
    </row>
    <row r="33" spans="1:5" x14ac:dyDescent="0.2">
      <c r="A33" s="35" t="s">
        <v>234</v>
      </c>
      <c r="B33" s="42" t="s">
        <v>230</v>
      </c>
      <c r="C33" s="38">
        <v>120281157.133</v>
      </c>
      <c r="E33" s="38">
        <v>120281157.133</v>
      </c>
    </row>
    <row r="34" spans="1:5" x14ac:dyDescent="0.2">
      <c r="A34" s="35" t="s">
        <v>234</v>
      </c>
      <c r="B34" t="s">
        <v>168</v>
      </c>
      <c r="C34" s="38">
        <v>3243481.15</v>
      </c>
      <c r="E34" s="38">
        <v>3243481.15</v>
      </c>
    </row>
    <row r="35" spans="1:5" x14ac:dyDescent="0.2">
      <c r="A35" s="45" t="s">
        <v>234</v>
      </c>
      <c r="B35" s="42" t="s">
        <v>169</v>
      </c>
      <c r="C35" s="38">
        <v>27175248.786000002</v>
      </c>
      <c r="E35" s="38">
        <v>27175248.786000002</v>
      </c>
    </row>
    <row r="36" spans="1:5" x14ac:dyDescent="0.2">
      <c r="A36" s="45" t="s">
        <v>43</v>
      </c>
      <c r="B36" s="42" t="s">
        <v>173</v>
      </c>
      <c r="C36" s="38">
        <v>1372029.64</v>
      </c>
    </row>
    <row r="37" spans="1:5" x14ac:dyDescent="0.2">
      <c r="A37" s="45" t="s">
        <v>234</v>
      </c>
      <c r="B37" s="42" t="s">
        <v>174</v>
      </c>
      <c r="C37" s="38">
        <v>3730981.13</v>
      </c>
      <c r="E37" s="38">
        <f>+C37</f>
        <v>3730981.13</v>
      </c>
    </row>
    <row r="38" spans="1:5" x14ac:dyDescent="0.2">
      <c r="A38" s="35" t="s">
        <v>43</v>
      </c>
      <c r="B38" s="42" t="s">
        <v>175</v>
      </c>
      <c r="C38" s="38">
        <v>25125525.900000002</v>
      </c>
      <c r="E38" s="38">
        <f>+C38+C36+C39+C40</f>
        <v>27397018.540000003</v>
      </c>
    </row>
    <row r="39" spans="1:5" x14ac:dyDescent="0.2">
      <c r="A39" s="35" t="s">
        <v>43</v>
      </c>
      <c r="B39" t="s">
        <v>231</v>
      </c>
      <c r="C39" s="38">
        <v>550737</v>
      </c>
    </row>
    <row r="40" spans="1:5" x14ac:dyDescent="0.2">
      <c r="A40" s="35" t="s">
        <v>43</v>
      </c>
      <c r="B40" t="s">
        <v>176</v>
      </c>
      <c r="C40" s="38">
        <v>348726</v>
      </c>
    </row>
    <row r="41" spans="1:5" x14ac:dyDescent="0.2">
      <c r="A41" s="35" t="s">
        <v>234</v>
      </c>
      <c r="B41" t="s">
        <v>177</v>
      </c>
      <c r="C41" s="38">
        <v>5377384.6799999997</v>
      </c>
      <c r="E41" s="38">
        <f t="shared" ref="E41:E50" si="0">+C41</f>
        <v>5377384.6799999997</v>
      </c>
    </row>
    <row r="42" spans="1:5" x14ac:dyDescent="0.2">
      <c r="A42" s="35" t="s">
        <v>234</v>
      </c>
      <c r="B42" t="s">
        <v>178</v>
      </c>
      <c r="C42" s="38">
        <v>1582504.8</v>
      </c>
      <c r="E42" s="38">
        <f t="shared" si="0"/>
        <v>1582504.8</v>
      </c>
    </row>
    <row r="43" spans="1:5" x14ac:dyDescent="0.2">
      <c r="A43" s="35" t="s">
        <v>234</v>
      </c>
      <c r="B43" t="s">
        <v>179</v>
      </c>
      <c r="C43" s="38">
        <v>1414247.2500000002</v>
      </c>
      <c r="E43" s="38">
        <f t="shared" si="0"/>
        <v>1414247.2500000002</v>
      </c>
    </row>
    <row r="44" spans="1:5" x14ac:dyDescent="0.2">
      <c r="A44" s="35" t="s">
        <v>234</v>
      </c>
      <c r="B44" t="s">
        <v>180</v>
      </c>
      <c r="C44" s="38">
        <v>1204241.5</v>
      </c>
      <c r="E44" s="38">
        <f t="shared" si="0"/>
        <v>1204241.5</v>
      </c>
    </row>
    <row r="45" spans="1:5" x14ac:dyDescent="0.2">
      <c r="A45" s="35" t="s">
        <v>43</v>
      </c>
      <c r="B45" s="42" t="s">
        <v>181</v>
      </c>
      <c r="C45" s="38">
        <v>9409859.7960000001</v>
      </c>
      <c r="E45" s="38">
        <f>+C45+C46</f>
        <v>9435230.5960000008</v>
      </c>
    </row>
    <row r="46" spans="1:5" x14ac:dyDescent="0.2">
      <c r="A46" s="35" t="s">
        <v>43</v>
      </c>
      <c r="B46" s="42" t="s">
        <v>183</v>
      </c>
      <c r="C46" s="38">
        <v>25370.799999999999</v>
      </c>
      <c r="E46" s="38"/>
    </row>
    <row r="47" spans="1:5" x14ac:dyDescent="0.2">
      <c r="A47" s="35" t="s">
        <v>234</v>
      </c>
      <c r="B47" s="42" t="s">
        <v>184</v>
      </c>
      <c r="C47" s="38">
        <v>130213.2</v>
      </c>
      <c r="E47" s="38">
        <f t="shared" si="0"/>
        <v>130213.2</v>
      </c>
    </row>
    <row r="48" spans="1:5" x14ac:dyDescent="0.2">
      <c r="A48" s="35" t="s">
        <v>234</v>
      </c>
      <c r="B48" t="s">
        <v>185</v>
      </c>
      <c r="C48" s="38">
        <v>2242229.5</v>
      </c>
      <c r="E48" s="38">
        <f t="shared" si="0"/>
        <v>2242229.5</v>
      </c>
    </row>
    <row r="49" spans="1:5" x14ac:dyDescent="0.2">
      <c r="A49" s="35" t="s">
        <v>234</v>
      </c>
      <c r="B49" s="42" t="s">
        <v>186</v>
      </c>
      <c r="C49" s="38">
        <v>6813046.7549999999</v>
      </c>
      <c r="E49" s="38">
        <f t="shared" si="0"/>
        <v>6813046.7549999999</v>
      </c>
    </row>
    <row r="50" spans="1:5" x14ac:dyDescent="0.2">
      <c r="A50" s="35" t="s">
        <v>234</v>
      </c>
      <c r="B50" s="42" t="s">
        <v>188</v>
      </c>
      <c r="C50" s="39">
        <v>2153730.75</v>
      </c>
      <c r="E50" s="38">
        <f t="shared" si="0"/>
        <v>2153730.75</v>
      </c>
    </row>
    <row r="51" spans="1:5" x14ac:dyDescent="0.2">
      <c r="B51" s="42" t="s">
        <v>232</v>
      </c>
      <c r="C51" s="38">
        <f>SUM(C32:C50)</f>
        <v>238782083.58600003</v>
      </c>
    </row>
    <row r="54" spans="1:5" ht="13.5" thickBot="1" x14ac:dyDescent="0.25"/>
    <row r="55" spans="1:5" ht="13.5" thickBot="1" x14ac:dyDescent="0.25">
      <c r="A55" s="48"/>
      <c r="B55" s="47" t="s">
        <v>236</v>
      </c>
    </row>
    <row r="56" spans="1:5" x14ac:dyDescent="0.2">
      <c r="A56" t="s">
        <v>234</v>
      </c>
      <c r="B56" s="42" t="s">
        <v>166</v>
      </c>
      <c r="C56" s="38">
        <v>26601367.816</v>
      </c>
      <c r="E56" s="38"/>
    </row>
    <row r="57" spans="1:5" x14ac:dyDescent="0.2">
      <c r="A57" t="s">
        <v>234</v>
      </c>
      <c r="B57" s="42" t="s">
        <v>230</v>
      </c>
      <c r="C57" s="38">
        <v>120281157.133</v>
      </c>
      <c r="E57" s="38"/>
    </row>
    <row r="58" spans="1:5" x14ac:dyDescent="0.2">
      <c r="A58" t="s">
        <v>234</v>
      </c>
      <c r="B58" t="s">
        <v>168</v>
      </c>
      <c r="C58" s="38">
        <v>3243481.15</v>
      </c>
      <c r="E58" s="38"/>
    </row>
    <row r="59" spans="1:5" x14ac:dyDescent="0.2">
      <c r="A59" t="s">
        <v>234</v>
      </c>
      <c r="B59" s="42" t="s">
        <v>169</v>
      </c>
      <c r="C59" s="38">
        <v>27175248.786000002</v>
      </c>
      <c r="E59" s="38"/>
    </row>
    <row r="60" spans="1:5" x14ac:dyDescent="0.2">
      <c r="A60" t="s">
        <v>234</v>
      </c>
      <c r="B60" s="42" t="s">
        <v>174</v>
      </c>
      <c r="C60" s="38">
        <v>3730981.13</v>
      </c>
      <c r="E60" s="38"/>
    </row>
    <row r="61" spans="1:5" x14ac:dyDescent="0.2">
      <c r="A61" t="s">
        <v>43</v>
      </c>
      <c r="B61" s="46" t="s">
        <v>190</v>
      </c>
      <c r="C61" s="38">
        <v>27397018.540000003</v>
      </c>
      <c r="E61" s="38"/>
    </row>
    <row r="62" spans="1:5" x14ac:dyDescent="0.2">
      <c r="A62" t="s">
        <v>43</v>
      </c>
      <c r="B62" s="42" t="s">
        <v>181</v>
      </c>
      <c r="C62" s="38">
        <v>9435230.5960000008</v>
      </c>
      <c r="E62" s="38"/>
    </row>
    <row r="63" spans="1:5" x14ac:dyDescent="0.2">
      <c r="A63" t="s">
        <v>234</v>
      </c>
      <c r="B63" t="s">
        <v>177</v>
      </c>
      <c r="C63" s="38">
        <v>5377384.6799999997</v>
      </c>
      <c r="E63" s="38"/>
    </row>
    <row r="64" spans="1:5" x14ac:dyDescent="0.2">
      <c r="A64" t="s">
        <v>234</v>
      </c>
      <c r="B64" t="s">
        <v>178</v>
      </c>
      <c r="C64" s="38">
        <v>1582504.8</v>
      </c>
      <c r="E64" s="38"/>
    </row>
    <row r="65" spans="1:5" x14ac:dyDescent="0.2">
      <c r="A65" t="s">
        <v>234</v>
      </c>
      <c r="B65" t="s">
        <v>179</v>
      </c>
      <c r="C65" s="38">
        <v>1414247.2500000002</v>
      </c>
      <c r="E65" s="38"/>
    </row>
    <row r="66" spans="1:5" x14ac:dyDescent="0.2">
      <c r="A66" t="s">
        <v>234</v>
      </c>
      <c r="B66" t="s">
        <v>180</v>
      </c>
      <c r="C66" s="38">
        <v>1204241.5</v>
      </c>
      <c r="E66" s="38"/>
    </row>
    <row r="67" spans="1:5" x14ac:dyDescent="0.2">
      <c r="A67" t="s">
        <v>234</v>
      </c>
      <c r="B67" s="42" t="s">
        <v>184</v>
      </c>
      <c r="C67" s="38">
        <v>130213.2</v>
      </c>
      <c r="E67" s="38"/>
    </row>
    <row r="68" spans="1:5" x14ac:dyDescent="0.2">
      <c r="A68" t="s">
        <v>234</v>
      </c>
      <c r="B68" t="s">
        <v>185</v>
      </c>
      <c r="C68" s="38">
        <v>2242229.5</v>
      </c>
      <c r="E68" s="38"/>
    </row>
    <row r="69" spans="1:5" x14ac:dyDescent="0.2">
      <c r="A69" t="s">
        <v>234</v>
      </c>
      <c r="B69" s="42" t="s">
        <v>186</v>
      </c>
      <c r="C69" s="38">
        <v>6813046.7549999999</v>
      </c>
      <c r="E69" s="38"/>
    </row>
    <row r="70" spans="1:5" x14ac:dyDescent="0.2">
      <c r="A70" t="s">
        <v>234</v>
      </c>
      <c r="B70" s="42" t="s">
        <v>188</v>
      </c>
      <c r="C70" s="39">
        <v>2153730.75</v>
      </c>
      <c r="E70" s="38"/>
    </row>
    <row r="71" spans="1:5" x14ac:dyDescent="0.2">
      <c r="B71" s="42" t="s">
        <v>232</v>
      </c>
      <c r="C71" s="38">
        <f>SUM(C56:C70)</f>
        <v>238782083.58600003</v>
      </c>
      <c r="E71" s="38"/>
    </row>
    <row r="72" spans="1:5" x14ac:dyDescent="0.2">
      <c r="E72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75C393-29CF-4067-AF71-926AFBB58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6D9831-56C3-4D0C-97FC-91B48E02D53B}"/>
</file>

<file path=customXml/itemProps3.xml><?xml version="1.0" encoding="utf-8"?>
<ds:datastoreItem xmlns:ds="http://schemas.openxmlformats.org/officeDocument/2006/customXml" ds:itemID="{132E51FF-A987-49ED-9929-6AA62A8C2B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4.xml><?xml version="1.0" encoding="utf-8"?>
<ds:datastoreItem xmlns:ds="http://schemas.openxmlformats.org/officeDocument/2006/customXml" ds:itemID="{7D5A15FA-0208-4C96-A958-74E9E7095E5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BD37FEB-D2C0-4731-B950-A68786F0FFB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TTACB Fund Analysis </vt:lpstr>
      <vt:lpstr>Sheet1</vt:lpstr>
      <vt:lpstr>Sheet2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Los_Angeles_FY13-14_RER_ADA</dc:title>
  <dc:creator>Moses.Ndungu@dhcs.ca.gov</dc:creator>
  <cp:keywords>Los_Angeles_FY13-14_RER_ADA</cp:keywords>
  <cp:lastModifiedBy>westj</cp:lastModifiedBy>
  <cp:lastPrinted>2016-10-19T16:13:10Z</cp:lastPrinted>
  <dcterms:created xsi:type="dcterms:W3CDTF">2007-09-20T19:02:25Z</dcterms:created>
  <dcterms:modified xsi:type="dcterms:W3CDTF">2020-11-04T03:33:28Z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DHCSDOC-1363137784-1419</vt:lpwstr>
  </property>
  <property fmtid="{D5CDD505-2E9C-101B-9397-08002B2CF9AE}" pid="13" name="_dlc_DocIdItemGuid">
    <vt:lpwstr>06a9615b-79fa-402d-b01e-8027cb3fb6ea</vt:lpwstr>
  </property>
  <property fmtid="{D5CDD505-2E9C-101B-9397-08002B2CF9AE}" pid="14" name="_dlc_DocIdUrl">
    <vt:lpwstr>http://dhcs2016prod:88/services/MH/_layouts/15/DocIdRedir.aspx?ID=DHCSDOC-1363137784-1419, DHCSDOC-1363137784-1419</vt:lpwstr>
  </property>
  <property fmtid="{D5CDD505-2E9C-101B-9397-08002B2CF9AE}" pid="15" name="ContentTypeId">
    <vt:lpwstr>0x0101000DD778A44A894D44A57135C48A267F0A</vt:lpwstr>
  </property>
</Properties>
</file>