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E7B45466-44DC-4710-B489-668AFF6569DB}"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Summary'!$B$1:$N$103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O39" i="1" l="1"/>
  <c r="J39" i="1"/>
  <c r="H39" i="1"/>
  <c r="T42" i="2"/>
  <c r="N20" i="2" s="1"/>
  <c r="N21" i="2" s="1"/>
  <c r="E45" i="19" s="1"/>
  <c r="E100" i="19" s="1"/>
  <c r="F31" i="19"/>
  <c r="E31" i="19"/>
  <c r="D31" i="19"/>
  <c r="F32" i="19"/>
  <c r="N32" i="19" s="1"/>
  <c r="E32" i="19"/>
  <c r="D32" i="19"/>
  <c r="F27" i="19"/>
  <c r="E27" i="19"/>
  <c r="L22" i="2" s="1"/>
  <c r="D27" i="19"/>
  <c r="K27" i="19"/>
  <c r="H27" i="19"/>
  <c r="G27" i="19"/>
  <c r="L21" i="5" s="1"/>
  <c r="M60" i="19"/>
  <c r="H60" i="19"/>
  <c r="G60" i="19"/>
  <c r="D60" i="19"/>
  <c r="N60" i="19" s="1"/>
  <c r="M75" i="19"/>
  <c r="M102" i="19" s="1"/>
  <c r="M30" i="19"/>
  <c r="M63" i="19"/>
  <c r="M76" i="19" s="1"/>
  <c r="L75" i="19"/>
  <c r="K75" i="19"/>
  <c r="J75" i="19"/>
  <c r="I75" i="19"/>
  <c r="H75" i="19"/>
  <c r="G75" i="19"/>
  <c r="F75" i="19"/>
  <c r="E75" i="19"/>
  <c r="D75" i="19"/>
  <c r="L74" i="19"/>
  <c r="J74" i="19"/>
  <c r="I74" i="19"/>
  <c r="H74" i="19"/>
  <c r="G74" i="19"/>
  <c r="F74" i="19"/>
  <c r="E74" i="19"/>
  <c r="D74" i="19"/>
  <c r="L73" i="19"/>
  <c r="J73" i="19"/>
  <c r="I73" i="19"/>
  <c r="H73" i="19"/>
  <c r="G73" i="19"/>
  <c r="F73" i="19"/>
  <c r="E73" i="19"/>
  <c r="N73" i="19" s="1"/>
  <c r="D73" i="19"/>
  <c r="L72" i="19"/>
  <c r="J72" i="19"/>
  <c r="I72" i="19"/>
  <c r="I76" i="19" s="1"/>
  <c r="H72" i="19"/>
  <c r="G72" i="19"/>
  <c r="F72" i="19"/>
  <c r="E72" i="19"/>
  <c r="N72" i="19" s="1"/>
  <c r="D72" i="19"/>
  <c r="J71" i="19"/>
  <c r="I71" i="19"/>
  <c r="H71" i="19"/>
  <c r="G71" i="19"/>
  <c r="F71" i="19"/>
  <c r="E71" i="19"/>
  <c r="D71" i="19"/>
  <c r="D98" i="19" s="1"/>
  <c r="J70" i="19"/>
  <c r="I70" i="19"/>
  <c r="H70" i="19"/>
  <c r="G70" i="19"/>
  <c r="F70" i="19"/>
  <c r="E70" i="19"/>
  <c r="D70" i="19"/>
  <c r="K69" i="19"/>
  <c r="J69" i="19"/>
  <c r="I69" i="19"/>
  <c r="H69" i="19"/>
  <c r="G69" i="19"/>
  <c r="F69" i="19"/>
  <c r="E69" i="19"/>
  <c r="D69" i="19"/>
  <c r="K68" i="19"/>
  <c r="K95" i="19" s="1"/>
  <c r="J68" i="19"/>
  <c r="I68" i="19"/>
  <c r="H68" i="19"/>
  <c r="G68" i="19"/>
  <c r="F68" i="19"/>
  <c r="E68" i="19"/>
  <c r="D68" i="19"/>
  <c r="K67" i="19"/>
  <c r="J67" i="19"/>
  <c r="I67" i="19"/>
  <c r="H67" i="19"/>
  <c r="G67" i="19"/>
  <c r="N67" i="19" s="1"/>
  <c r="F67" i="19"/>
  <c r="E67" i="19"/>
  <c r="D67" i="19"/>
  <c r="K66" i="19"/>
  <c r="J66" i="19"/>
  <c r="J76" i="19" s="1"/>
  <c r="I66" i="19"/>
  <c r="H66" i="19"/>
  <c r="G66" i="19"/>
  <c r="G76" i="19" s="1"/>
  <c r="F66" i="19"/>
  <c r="E66" i="19"/>
  <c r="D66" i="19"/>
  <c r="H65" i="19"/>
  <c r="H76" i="19" s="1"/>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C30" i="5" s="1"/>
  <c r="D7" i="3"/>
  <c r="D7"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C41" i="2"/>
  <c r="C40" i="2"/>
  <c r="C39" i="2"/>
  <c r="C37" i="2"/>
  <c r="W22" i="6"/>
  <c r="V22" i="6"/>
  <c r="U22" i="6"/>
  <c r="T22" i="6"/>
  <c r="S22" i="6"/>
  <c r="R22" i="6"/>
  <c r="Q22" i="6"/>
  <c r="P22" i="6"/>
  <c r="O22" i="6"/>
  <c r="N22" i="6"/>
  <c r="M22" i="6"/>
  <c r="K22" i="6" s="1"/>
  <c r="L22" i="6"/>
  <c r="W21" i="5"/>
  <c r="V21" i="5"/>
  <c r="U21" i="5"/>
  <c r="T21" i="5"/>
  <c r="S21" i="5"/>
  <c r="R21" i="5"/>
  <c r="Q21" i="5"/>
  <c r="P21" i="5"/>
  <c r="O21" i="5"/>
  <c r="N21" i="5"/>
  <c r="M21" i="5"/>
  <c r="U21" i="3"/>
  <c r="T21" i="3"/>
  <c r="S21" i="3"/>
  <c r="R21" i="3"/>
  <c r="Q21" i="3"/>
  <c r="P21" i="3"/>
  <c r="O21" i="3"/>
  <c r="N21" i="3"/>
  <c r="M21" i="3"/>
  <c r="U22" i="2"/>
  <c r="T22" i="2"/>
  <c r="S22" i="2"/>
  <c r="R22" i="2"/>
  <c r="Q22" i="2"/>
  <c r="P22" i="2"/>
  <c r="O22" i="2"/>
  <c r="N22" i="2"/>
  <c r="M22" i="2"/>
  <c r="M25" i="1"/>
  <c r="L25" i="1"/>
  <c r="U25" i="1"/>
  <c r="T25" i="1"/>
  <c r="S25" i="1"/>
  <c r="R25" i="1"/>
  <c r="Q25" i="1"/>
  <c r="P25" i="1"/>
  <c r="O25" i="1"/>
  <c r="N25" i="1"/>
  <c r="G5" i="19"/>
  <c r="G87" i="19"/>
  <c r="F87" i="19"/>
  <c r="E87" i="19"/>
  <c r="D87" i="19"/>
  <c r="N87" i="19" s="1"/>
  <c r="G86" i="19"/>
  <c r="F86" i="19"/>
  <c r="E86" i="19"/>
  <c r="D86" i="19"/>
  <c r="G85" i="19"/>
  <c r="F85" i="19"/>
  <c r="E85" i="19"/>
  <c r="D85" i="19"/>
  <c r="G84" i="19"/>
  <c r="F84" i="19"/>
  <c r="E84" i="19"/>
  <c r="D84" i="19"/>
  <c r="G83" i="19"/>
  <c r="F83" i="19"/>
  <c r="E83" i="19"/>
  <c r="E96" i="19" s="1"/>
  <c r="D83" i="19"/>
  <c r="D96" i="19" s="1"/>
  <c r="G82" i="19"/>
  <c r="F82" i="19"/>
  <c r="E82" i="19"/>
  <c r="D82" i="19"/>
  <c r="G81" i="19"/>
  <c r="F81" i="19"/>
  <c r="E81" i="19"/>
  <c r="D81" i="19"/>
  <c r="N81" i="19" s="1"/>
  <c r="G80" i="19"/>
  <c r="F80" i="19"/>
  <c r="E80" i="19"/>
  <c r="D80" i="19"/>
  <c r="N80" i="19" s="1"/>
  <c r="G79" i="19"/>
  <c r="F79" i="19"/>
  <c r="E79" i="19"/>
  <c r="D79" i="19"/>
  <c r="N79" i="19" s="1"/>
  <c r="G78" i="19"/>
  <c r="G88" i="19" s="1"/>
  <c r="F78" i="19"/>
  <c r="E78" i="19"/>
  <c r="D78" i="19"/>
  <c r="N78" i="19" s="1"/>
  <c r="M59" i="19"/>
  <c r="D59" i="19" s="1"/>
  <c r="N59" i="19" s="1"/>
  <c r="H59" i="19"/>
  <c r="G59" i="19"/>
  <c r="M58" i="19"/>
  <c r="M61" i="19" s="1"/>
  <c r="H58" i="19"/>
  <c r="G58" i="19"/>
  <c r="M57" i="19"/>
  <c r="H57" i="19"/>
  <c r="H61" i="19" s="1"/>
  <c r="G57" i="19"/>
  <c r="L53" i="19"/>
  <c r="K53" i="19"/>
  <c r="J53" i="19"/>
  <c r="I53" i="19"/>
  <c r="L52" i="19"/>
  <c r="K52" i="19"/>
  <c r="J52" i="19"/>
  <c r="I52" i="19"/>
  <c r="L51" i="19"/>
  <c r="K51" i="19"/>
  <c r="J51" i="19"/>
  <c r="I51" i="19"/>
  <c r="L50" i="19"/>
  <c r="K50" i="19"/>
  <c r="K54" i="19" s="1"/>
  <c r="J50" i="19"/>
  <c r="J54" i="19" s="1"/>
  <c r="I50" i="19"/>
  <c r="I54" i="19" s="1"/>
  <c r="L47" i="19"/>
  <c r="K47" i="19"/>
  <c r="K102" i="19" s="1"/>
  <c r="J47" i="19"/>
  <c r="J102" i="19" s="1"/>
  <c r="I47" i="19"/>
  <c r="L46" i="19"/>
  <c r="L101" i="19"/>
  <c r="J46" i="19"/>
  <c r="L45" i="19"/>
  <c r="L100" i="19" s="1"/>
  <c r="J45" i="19"/>
  <c r="J100" i="19" s="1"/>
  <c r="L44" i="19"/>
  <c r="J44" i="19"/>
  <c r="J99" i="19" s="1"/>
  <c r="J43" i="19"/>
  <c r="J98" i="19" s="1"/>
  <c r="J42" i="19"/>
  <c r="K41" i="19"/>
  <c r="K96" i="19" s="1"/>
  <c r="J41" i="19"/>
  <c r="I41" i="19"/>
  <c r="I96" i="19" s="1"/>
  <c r="K40" i="19"/>
  <c r="J40" i="19"/>
  <c r="J95" i="19" s="1"/>
  <c r="I40" i="19"/>
  <c r="I95" i="19" s="1"/>
  <c r="K39" i="19"/>
  <c r="J39" i="19"/>
  <c r="I39" i="19"/>
  <c r="I94" i="19" s="1"/>
  <c r="K38" i="19"/>
  <c r="J38" i="19"/>
  <c r="I38" i="19"/>
  <c r="M33" i="19"/>
  <c r="L33" i="19"/>
  <c r="K33" i="19"/>
  <c r="J33" i="19"/>
  <c r="I33" i="19"/>
  <c r="H33" i="19"/>
  <c r="G33" i="19"/>
  <c r="E33" i="19"/>
  <c r="D33" i="19"/>
  <c r="N31" i="19"/>
  <c r="N30" i="19"/>
  <c r="M28" i="19"/>
  <c r="L28" i="19"/>
  <c r="K28" i="19"/>
  <c r="J28" i="19"/>
  <c r="I28" i="19"/>
  <c r="H28" i="19"/>
  <c r="F28" i="19"/>
  <c r="D28" i="19"/>
  <c r="N26" i="19"/>
  <c r="N25" i="19"/>
  <c r="N24" i="19"/>
  <c r="N23" i="19"/>
  <c r="N22" i="19"/>
  <c r="N21" i="19"/>
  <c r="N20" i="19"/>
  <c r="N19" i="19"/>
  <c r="N18" i="19"/>
  <c r="N17" i="19"/>
  <c r="N16" i="19"/>
  <c r="G61" i="19"/>
  <c r="M90" i="19"/>
  <c r="M103" i="19" s="1"/>
  <c r="K94" i="19"/>
  <c r="J101" i="19"/>
  <c r="K76" i="19"/>
  <c r="I93" i="19"/>
  <c r="E98" i="19"/>
  <c r="D97" i="19"/>
  <c r="J94" i="19"/>
  <c r="L102" i="19"/>
  <c r="D57" i="19"/>
  <c r="E93" i="19"/>
  <c r="E95" i="19"/>
  <c r="E97" i="19"/>
  <c r="N86" i="19"/>
  <c r="E76" i="19"/>
  <c r="E88" i="19"/>
  <c r="L54" i="19"/>
  <c r="D58" i="19"/>
  <c r="N58" i="19" s="1"/>
  <c r="L48" i="19"/>
  <c r="L55" i="19" s="1"/>
  <c r="N64" i="19"/>
  <c r="E94" i="19"/>
  <c r="P86" i="3"/>
  <c r="K86" i="3" s="1"/>
  <c r="P85" i="3"/>
  <c r="K85" i="3" s="1"/>
  <c r="P84" i="3"/>
  <c r="P82" i="3"/>
  <c r="P81" i="3"/>
  <c r="K81" i="3" s="1"/>
  <c r="P80" i="3"/>
  <c r="K80" i="3" s="1"/>
  <c r="P78" i="3"/>
  <c r="K78" i="3"/>
  <c r="P77" i="3"/>
  <c r="K77" i="3" s="1"/>
  <c r="P76" i="3"/>
  <c r="K76" i="3" s="1"/>
  <c r="P74" i="3"/>
  <c r="K74" i="3" s="1"/>
  <c r="P73" i="3"/>
  <c r="K73" i="3" s="1"/>
  <c r="P72" i="3"/>
  <c r="K72" i="3" s="1"/>
  <c r="P70" i="3"/>
  <c r="K70" i="3" s="1"/>
  <c r="P69" i="3"/>
  <c r="K69" i="3" s="1"/>
  <c r="P68" i="3"/>
  <c r="K68" i="3" s="1"/>
  <c r="P66" i="3"/>
  <c r="P65" i="3"/>
  <c r="P64" i="3"/>
  <c r="K64" i="3" s="1"/>
  <c r="P62" i="3"/>
  <c r="K62" i="3" s="1"/>
  <c r="P61" i="3"/>
  <c r="K61" i="3" s="1"/>
  <c r="P60" i="3"/>
  <c r="K60" i="3" s="1"/>
  <c r="P58" i="3"/>
  <c r="P57" i="3"/>
  <c r="K57" i="3" s="1"/>
  <c r="P56" i="3"/>
  <c r="K56" i="3" s="1"/>
  <c r="P54" i="3"/>
  <c r="K54" i="3" s="1"/>
  <c r="P53" i="3"/>
  <c r="K53" i="3" s="1"/>
  <c r="P52" i="3"/>
  <c r="K52" i="3" s="1"/>
  <c r="P50" i="3"/>
  <c r="P49" i="3"/>
  <c r="K49" i="3" s="1"/>
  <c r="P48" i="3"/>
  <c r="K48" i="3" s="1"/>
  <c r="P46" i="3"/>
  <c r="K46" i="3" s="1"/>
  <c r="P45" i="3"/>
  <c r="K45" i="3" s="1"/>
  <c r="P44" i="3"/>
  <c r="K44" i="3" s="1"/>
  <c r="P42" i="3"/>
  <c r="K42" i="3" s="1"/>
  <c r="P41" i="3"/>
  <c r="K41" i="3" s="1"/>
  <c r="P40" i="3"/>
  <c r="K40" i="3" s="1"/>
  <c r="P38" i="3"/>
  <c r="K38" i="3" s="1"/>
  <c r="P37" i="3"/>
  <c r="K37" i="3" s="1"/>
  <c r="P36" i="3"/>
  <c r="K36" i="3" s="1"/>
  <c r="P34" i="3"/>
  <c r="P33" i="3"/>
  <c r="K33" i="3" s="1"/>
  <c r="P32" i="3"/>
  <c r="K32" i="3" s="1"/>
  <c r="P30" i="3"/>
  <c r="K30" i="3" s="1"/>
  <c r="P29" i="3"/>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P79" i="3" s="1"/>
  <c r="Q79" i="3"/>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Q59" i="3"/>
  <c r="Z55" i="3"/>
  <c r="Y55" i="3"/>
  <c r="X55" i="3"/>
  <c r="W55" i="3"/>
  <c r="V55" i="3"/>
  <c r="U55" i="3"/>
  <c r="T55" i="3"/>
  <c r="S55" i="3"/>
  <c r="R55" i="3"/>
  <c r="P55" i="3" s="1"/>
  <c r="Q55" i="3"/>
  <c r="Z51" i="3"/>
  <c r="Y51" i="3"/>
  <c r="X51" i="3"/>
  <c r="W51" i="3"/>
  <c r="V51" i="3"/>
  <c r="U51" i="3"/>
  <c r="T51" i="3"/>
  <c r="S51" i="3"/>
  <c r="R51" i="3"/>
  <c r="Q51" i="3"/>
  <c r="Z47" i="3"/>
  <c r="Y47" i="3"/>
  <c r="X47" i="3"/>
  <c r="W47" i="3"/>
  <c r="V47" i="3"/>
  <c r="U47" i="3"/>
  <c r="T47" i="3"/>
  <c r="S47" i="3"/>
  <c r="R47" i="3"/>
  <c r="P47" i="3" s="1"/>
  <c r="Q47" i="3"/>
  <c r="Z43" i="3"/>
  <c r="Y43" i="3"/>
  <c r="X43" i="3"/>
  <c r="W43" i="3"/>
  <c r="V43" i="3"/>
  <c r="U43" i="3"/>
  <c r="T43" i="3"/>
  <c r="S43" i="3"/>
  <c r="R43" i="3"/>
  <c r="Q43" i="3"/>
  <c r="Z39" i="3"/>
  <c r="Y39" i="3"/>
  <c r="X39" i="3"/>
  <c r="W39" i="3"/>
  <c r="V39" i="3"/>
  <c r="U39" i="3"/>
  <c r="T39" i="3"/>
  <c r="S39" i="3"/>
  <c r="R39" i="3"/>
  <c r="P39" i="3" s="1"/>
  <c r="Q39" i="3"/>
  <c r="Z35" i="3"/>
  <c r="Y35" i="3"/>
  <c r="X35" i="3"/>
  <c r="W35" i="3"/>
  <c r="V35" i="3"/>
  <c r="U35" i="3"/>
  <c r="T35" i="3"/>
  <c r="P35" i="3" s="1"/>
  <c r="K35" i="3" s="1"/>
  <c r="S35" i="3"/>
  <c r="R35" i="3"/>
  <c r="Q35" i="3"/>
  <c r="O87" i="3"/>
  <c r="N87" i="3"/>
  <c r="M87" i="3"/>
  <c r="L87" i="3"/>
  <c r="O83" i="3"/>
  <c r="N83" i="3"/>
  <c r="M83" i="3"/>
  <c r="L83" i="3"/>
  <c r="O79" i="3"/>
  <c r="K79" i="3" s="1"/>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K47" i="3" s="1"/>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P31" i="3" s="1"/>
  <c r="R31" i="3"/>
  <c r="Q31" i="3"/>
  <c r="O31" i="3"/>
  <c r="N31" i="3"/>
  <c r="K31" i="3" s="1"/>
  <c r="M31" i="3"/>
  <c r="L31" i="3"/>
  <c r="K84" i="3"/>
  <c r="K82" i="3"/>
  <c r="K66" i="3"/>
  <c r="K65" i="3"/>
  <c r="K58" i="3"/>
  <c r="K50" i="3"/>
  <c r="K34" i="3"/>
  <c r="K29" i="3"/>
  <c r="J87" i="3"/>
  <c r="I87" i="3"/>
  <c r="H87" i="3"/>
  <c r="G87" i="3"/>
  <c r="F87" i="3"/>
  <c r="E87" i="3"/>
  <c r="D87" i="3"/>
  <c r="J86" i="3"/>
  <c r="I86" i="3"/>
  <c r="H86" i="3"/>
  <c r="G86" i="3"/>
  <c r="F86" i="3"/>
  <c r="E86" i="3"/>
  <c r="D86" i="3"/>
  <c r="J85" i="3"/>
  <c r="I85" i="3"/>
  <c r="H85" i="3"/>
  <c r="G85" i="3"/>
  <c r="F85" i="3"/>
  <c r="E85" i="3"/>
  <c r="D85" i="3"/>
  <c r="J84" i="3"/>
  <c r="C84" i="3"/>
  <c r="C87" i="3" s="1"/>
  <c r="J83" i="3"/>
  <c r="I83" i="3"/>
  <c r="H83" i="3"/>
  <c r="G83" i="3"/>
  <c r="F83" i="3"/>
  <c r="E83" i="3"/>
  <c r="D83" i="3"/>
  <c r="J82" i="3"/>
  <c r="I82" i="3"/>
  <c r="H82" i="3"/>
  <c r="G82" i="3"/>
  <c r="F82" i="3"/>
  <c r="E82" i="3"/>
  <c r="D82" i="3"/>
  <c r="J81" i="3"/>
  <c r="I81" i="3"/>
  <c r="H81" i="3"/>
  <c r="G81" i="3"/>
  <c r="F81" i="3"/>
  <c r="E81" i="3"/>
  <c r="D81" i="3"/>
  <c r="J80" i="3"/>
  <c r="C80" i="3"/>
  <c r="C82" i="3" s="1"/>
  <c r="J79" i="3"/>
  <c r="I79" i="3"/>
  <c r="H79" i="3"/>
  <c r="G79" i="3"/>
  <c r="F79" i="3"/>
  <c r="E79" i="3"/>
  <c r="D79" i="3"/>
  <c r="J78" i="3"/>
  <c r="I78" i="3"/>
  <c r="H78" i="3"/>
  <c r="G78" i="3"/>
  <c r="F78" i="3"/>
  <c r="E78" i="3"/>
  <c r="D78" i="3"/>
  <c r="J77" i="3"/>
  <c r="I77" i="3"/>
  <c r="H77" i="3"/>
  <c r="G77" i="3"/>
  <c r="F77" i="3"/>
  <c r="E77" i="3"/>
  <c r="D77" i="3"/>
  <c r="J76" i="3"/>
  <c r="C76" i="3"/>
  <c r="C77" i="3" s="1"/>
  <c r="J75" i="3"/>
  <c r="I75" i="3"/>
  <c r="H75" i="3"/>
  <c r="G75" i="3"/>
  <c r="F75" i="3"/>
  <c r="E75" i="3"/>
  <c r="D75" i="3"/>
  <c r="J74" i="3"/>
  <c r="I74" i="3"/>
  <c r="H74" i="3"/>
  <c r="G74" i="3"/>
  <c r="F74" i="3"/>
  <c r="E74" i="3"/>
  <c r="D74" i="3"/>
  <c r="J73" i="3"/>
  <c r="I73" i="3"/>
  <c r="H73" i="3"/>
  <c r="G73" i="3"/>
  <c r="F73" i="3"/>
  <c r="E73" i="3"/>
  <c r="D73" i="3"/>
  <c r="J72" i="3"/>
  <c r="C72" i="3"/>
  <c r="C74" i="3" s="1"/>
  <c r="J71" i="3"/>
  <c r="I71" i="3"/>
  <c r="H71" i="3"/>
  <c r="G71" i="3"/>
  <c r="F71" i="3"/>
  <c r="E71" i="3"/>
  <c r="D71" i="3"/>
  <c r="J70" i="3"/>
  <c r="I70" i="3"/>
  <c r="H70" i="3"/>
  <c r="G70" i="3"/>
  <c r="F70" i="3"/>
  <c r="E70" i="3"/>
  <c r="D70" i="3"/>
  <c r="J69" i="3"/>
  <c r="I69" i="3"/>
  <c r="H69" i="3"/>
  <c r="G69" i="3"/>
  <c r="F69" i="3"/>
  <c r="E69" i="3"/>
  <c r="D69" i="3"/>
  <c r="J68" i="3"/>
  <c r="C68" i="3"/>
  <c r="C71" i="3" s="1"/>
  <c r="J67" i="3"/>
  <c r="I67" i="3"/>
  <c r="H67" i="3"/>
  <c r="G67" i="3"/>
  <c r="F67" i="3"/>
  <c r="E67" i="3"/>
  <c r="D67" i="3"/>
  <c r="J66" i="3"/>
  <c r="I66" i="3"/>
  <c r="H66" i="3"/>
  <c r="G66" i="3"/>
  <c r="F66" i="3"/>
  <c r="E66" i="3"/>
  <c r="D66" i="3"/>
  <c r="J65" i="3"/>
  <c r="I65" i="3"/>
  <c r="H65" i="3"/>
  <c r="G65" i="3"/>
  <c r="F65" i="3"/>
  <c r="E65" i="3"/>
  <c r="D65" i="3"/>
  <c r="J64" i="3"/>
  <c r="C64" i="3"/>
  <c r="C65" i="3" s="1"/>
  <c r="J63" i="3"/>
  <c r="I63" i="3"/>
  <c r="H63" i="3"/>
  <c r="G63" i="3"/>
  <c r="F63" i="3"/>
  <c r="E63" i="3"/>
  <c r="D63" i="3"/>
  <c r="J62" i="3"/>
  <c r="I62" i="3"/>
  <c r="H62" i="3"/>
  <c r="G62" i="3"/>
  <c r="F62" i="3"/>
  <c r="E62" i="3"/>
  <c r="D62" i="3"/>
  <c r="J61" i="3"/>
  <c r="I61" i="3"/>
  <c r="H61" i="3"/>
  <c r="G61" i="3"/>
  <c r="F61" i="3"/>
  <c r="E61" i="3"/>
  <c r="D61" i="3"/>
  <c r="J60" i="3"/>
  <c r="C60" i="3"/>
  <c r="C62" i="3" s="1"/>
  <c r="J59" i="3"/>
  <c r="I59" i="3"/>
  <c r="H59" i="3"/>
  <c r="G59" i="3"/>
  <c r="F59" i="3"/>
  <c r="E59" i="3"/>
  <c r="D59" i="3"/>
  <c r="J58" i="3"/>
  <c r="I58" i="3"/>
  <c r="H58" i="3"/>
  <c r="G58" i="3"/>
  <c r="F58" i="3"/>
  <c r="E58" i="3"/>
  <c r="D58" i="3"/>
  <c r="J57" i="3"/>
  <c r="I57" i="3"/>
  <c r="H57" i="3"/>
  <c r="G57" i="3"/>
  <c r="F57" i="3"/>
  <c r="E57" i="3"/>
  <c r="D57" i="3"/>
  <c r="J56" i="3"/>
  <c r="C56" i="3"/>
  <c r="C58" i="3" s="1"/>
  <c r="J55" i="3"/>
  <c r="I55" i="3"/>
  <c r="H55" i="3"/>
  <c r="G55" i="3"/>
  <c r="F55" i="3"/>
  <c r="E55" i="3"/>
  <c r="D55" i="3"/>
  <c r="J54" i="3"/>
  <c r="I54" i="3"/>
  <c r="H54" i="3"/>
  <c r="G54" i="3"/>
  <c r="F54" i="3"/>
  <c r="E54" i="3"/>
  <c r="D54" i="3"/>
  <c r="J53" i="3"/>
  <c r="I53" i="3"/>
  <c r="H53" i="3"/>
  <c r="G53" i="3"/>
  <c r="F53" i="3"/>
  <c r="E53" i="3"/>
  <c r="D53" i="3"/>
  <c r="J52" i="3"/>
  <c r="C52" i="3"/>
  <c r="C55" i="3" s="1"/>
  <c r="J51" i="3"/>
  <c r="I51" i="3"/>
  <c r="H51" i="3"/>
  <c r="G51" i="3"/>
  <c r="F51" i="3"/>
  <c r="E51" i="3"/>
  <c r="D51" i="3"/>
  <c r="J50" i="3"/>
  <c r="I50" i="3"/>
  <c r="H50" i="3"/>
  <c r="G50" i="3"/>
  <c r="F50" i="3"/>
  <c r="E50" i="3"/>
  <c r="D50" i="3"/>
  <c r="J49" i="3"/>
  <c r="I49" i="3"/>
  <c r="H49" i="3"/>
  <c r="G49" i="3"/>
  <c r="F49" i="3"/>
  <c r="E49" i="3"/>
  <c r="D49" i="3"/>
  <c r="J48" i="3"/>
  <c r="C48" i="3"/>
  <c r="C50" i="3" s="1"/>
  <c r="J47" i="3"/>
  <c r="I47" i="3"/>
  <c r="H47" i="3"/>
  <c r="G47" i="3"/>
  <c r="F47" i="3"/>
  <c r="E47" i="3"/>
  <c r="D47" i="3"/>
  <c r="J46" i="3"/>
  <c r="I46" i="3"/>
  <c r="H46" i="3"/>
  <c r="G46" i="3"/>
  <c r="F46" i="3"/>
  <c r="E46" i="3"/>
  <c r="D46" i="3"/>
  <c r="J45" i="3"/>
  <c r="I45" i="3"/>
  <c r="H45" i="3"/>
  <c r="G45" i="3"/>
  <c r="F45" i="3"/>
  <c r="E45" i="3"/>
  <c r="D45" i="3"/>
  <c r="J44" i="3"/>
  <c r="C44" i="3"/>
  <c r="C45" i="3" s="1"/>
  <c r="J43" i="3"/>
  <c r="I43" i="3"/>
  <c r="H43" i="3"/>
  <c r="G43" i="3"/>
  <c r="F43" i="3"/>
  <c r="E43" i="3"/>
  <c r="D43" i="3"/>
  <c r="J42" i="3"/>
  <c r="I42" i="3"/>
  <c r="H42" i="3"/>
  <c r="G42" i="3"/>
  <c r="F42" i="3"/>
  <c r="E42" i="3"/>
  <c r="D42" i="3"/>
  <c r="J41" i="3"/>
  <c r="I41" i="3"/>
  <c r="H41" i="3"/>
  <c r="G41" i="3"/>
  <c r="F41" i="3"/>
  <c r="E41" i="3"/>
  <c r="D41" i="3"/>
  <c r="J40" i="3"/>
  <c r="C40" i="3"/>
  <c r="C42" i="3" s="1"/>
  <c r="J39" i="3"/>
  <c r="I39" i="3"/>
  <c r="H39" i="3"/>
  <c r="G39" i="3"/>
  <c r="F39" i="3"/>
  <c r="E39" i="3"/>
  <c r="D39" i="3"/>
  <c r="J38" i="3"/>
  <c r="I38" i="3"/>
  <c r="H38" i="3"/>
  <c r="G38" i="3"/>
  <c r="F38" i="3"/>
  <c r="E38" i="3"/>
  <c r="D38" i="3"/>
  <c r="J37" i="3"/>
  <c r="I37" i="3"/>
  <c r="H37" i="3"/>
  <c r="G37" i="3"/>
  <c r="F37" i="3"/>
  <c r="E37" i="3"/>
  <c r="D37" i="3"/>
  <c r="J36" i="3"/>
  <c r="C36" i="3"/>
  <c r="C39" i="3" s="1"/>
  <c r="I35" i="3"/>
  <c r="I34" i="3"/>
  <c r="I33" i="3"/>
  <c r="H35" i="3"/>
  <c r="H34" i="3"/>
  <c r="H33" i="3"/>
  <c r="G35" i="3"/>
  <c r="G34" i="3"/>
  <c r="G33" i="3"/>
  <c r="F35" i="3"/>
  <c r="F34" i="3"/>
  <c r="F33" i="3"/>
  <c r="E35" i="3"/>
  <c r="E34" i="3"/>
  <c r="E33" i="3"/>
  <c r="D35" i="3"/>
  <c r="D34" i="3"/>
  <c r="D33" i="3"/>
  <c r="J34" i="3"/>
  <c r="J33" i="3"/>
  <c r="C32" i="3"/>
  <c r="C35" i="3" s="1"/>
  <c r="P51" i="3"/>
  <c r="P59" i="3"/>
  <c r="C81" i="3"/>
  <c r="C78" i="3"/>
  <c r="C73" i="3"/>
  <c r="C61" i="3"/>
  <c r="C70" i="3"/>
  <c r="C38" i="3"/>
  <c r="C33" i="3"/>
  <c r="C34" i="3"/>
  <c r="L66" i="2"/>
  <c r="L65" i="2"/>
  <c r="L64" i="2"/>
  <c r="L63" i="2"/>
  <c r="L62" i="2"/>
  <c r="L61" i="2"/>
  <c r="L60" i="2"/>
  <c r="L59" i="2"/>
  <c r="L58" i="2"/>
  <c r="L57" i="2"/>
  <c r="L56" i="2"/>
  <c r="L55" i="2"/>
  <c r="L54" i="2"/>
  <c r="L53" i="2"/>
  <c r="L52" i="2"/>
  <c r="L51" i="2"/>
  <c r="L50" i="2"/>
  <c r="L49" i="2"/>
  <c r="L48" i="2"/>
  <c r="L47" i="2"/>
  <c r="L46" i="2"/>
  <c r="L45"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T21" i="2" s="1"/>
  <c r="S20" i="2"/>
  <c r="R20" i="2"/>
  <c r="Q20" i="2"/>
  <c r="P20" i="2"/>
  <c r="P21" i="2" s="1"/>
  <c r="O20" i="2"/>
  <c r="M20" i="2"/>
  <c r="L20" i="2"/>
  <c r="L21" i="2" s="1"/>
  <c r="E47" i="19" s="1"/>
  <c r="E102" i="19" s="1"/>
  <c r="J20" i="2"/>
  <c r="I20" i="2"/>
  <c r="H20" i="2"/>
  <c r="G20" i="2"/>
  <c r="L23" i="1"/>
  <c r="L24" i="1" s="1"/>
  <c r="D47" i="19" s="1"/>
  <c r="K22" i="1"/>
  <c r="F22" i="1" s="1"/>
  <c r="K21" i="1"/>
  <c r="F21" i="1"/>
  <c r="K14" i="1"/>
  <c r="F14" i="1" s="1"/>
  <c r="O23" i="1"/>
  <c r="K18" i="1"/>
  <c r="F18" i="1" s="1"/>
  <c r="K20" i="1"/>
  <c r="F20" i="1" s="1"/>
  <c r="O24" i="1"/>
  <c r="D44" i="19"/>
  <c r="K18" i="5"/>
  <c r="K17" i="5"/>
  <c r="F17" i="5" s="1"/>
  <c r="K17" i="1"/>
  <c r="F17" i="1" s="1"/>
  <c r="K19" i="2"/>
  <c r="F19" i="2" s="1"/>
  <c r="K18" i="2"/>
  <c r="F18" i="2" s="1"/>
  <c r="K17" i="2"/>
  <c r="F18" i="5"/>
  <c r="J16" i="7"/>
  <c r="E16" i="7" s="1"/>
  <c r="J15" i="7"/>
  <c r="E15" i="7" s="1"/>
  <c r="J14" i="7"/>
  <c r="E14" i="7"/>
  <c r="F17" i="2"/>
  <c r="C48" i="6"/>
  <c r="C47" i="6"/>
  <c r="C46" i="6"/>
  <c r="C45" i="6"/>
  <c r="C44" i="6"/>
  <c r="C43" i="6"/>
  <c r="C42" i="6"/>
  <c r="C41" i="6"/>
  <c r="C40" i="6"/>
  <c r="C39" i="6"/>
  <c r="C38" i="6"/>
  <c r="C37" i="6"/>
  <c r="C36" i="6"/>
  <c r="C35" i="6"/>
  <c r="C34" i="6"/>
  <c r="C33" i="6"/>
  <c r="C32" i="6"/>
  <c r="C31" i="6"/>
  <c r="C30" i="6"/>
  <c r="C29" i="6"/>
  <c r="C33" i="5"/>
  <c r="C32" i="5"/>
  <c r="C31" i="5"/>
  <c r="C29" i="5"/>
  <c r="I20" i="6"/>
  <c r="J20" i="6"/>
  <c r="L48" i="6"/>
  <c r="L47" i="6"/>
  <c r="G47" i="6" s="1"/>
  <c r="L46" i="6"/>
  <c r="G46" i="6" s="1"/>
  <c r="L45" i="6"/>
  <c r="L44" i="6"/>
  <c r="L43" i="6"/>
  <c r="G43" i="6" s="1"/>
  <c r="L42" i="6"/>
  <c r="G42" i="6" s="1"/>
  <c r="L41" i="6"/>
  <c r="L40" i="6"/>
  <c r="L39" i="6"/>
  <c r="G39" i="6" s="1"/>
  <c r="L38" i="6"/>
  <c r="G38" i="6" s="1"/>
  <c r="L37" i="6"/>
  <c r="L36" i="6"/>
  <c r="L35" i="6"/>
  <c r="G35" i="6" s="1"/>
  <c r="L34" i="6"/>
  <c r="L33" i="6"/>
  <c r="L32" i="6"/>
  <c r="L31" i="6"/>
  <c r="G31" i="6" s="1"/>
  <c r="L30" i="6"/>
  <c r="G30" i="6" s="1"/>
  <c r="L29" i="6"/>
  <c r="K19" i="6"/>
  <c r="K18" i="6"/>
  <c r="F18" i="6" s="1"/>
  <c r="K17" i="6"/>
  <c r="F17" i="6" s="1"/>
  <c r="K16" i="6"/>
  <c r="K15" i="6"/>
  <c r="K14" i="6"/>
  <c r="F14" i="6" s="1"/>
  <c r="R19" i="5"/>
  <c r="R20" i="5" s="1"/>
  <c r="G41" i="19" s="1"/>
  <c r="G96" i="19" s="1"/>
  <c r="Q19" i="5"/>
  <c r="Q20" i="5" s="1"/>
  <c r="G42" i="19" s="1"/>
  <c r="P19" i="5"/>
  <c r="P20" i="5" s="1"/>
  <c r="G43" i="19" s="1"/>
  <c r="G98" i="19" s="1"/>
  <c r="O19" i="5"/>
  <c r="O20" i="5" s="1"/>
  <c r="G44" i="19" s="1"/>
  <c r="G99" i="19" s="1"/>
  <c r="N19" i="5"/>
  <c r="N20" i="5" s="1"/>
  <c r="G45" i="19"/>
  <c r="G100" i="19" s="1"/>
  <c r="L19" i="5"/>
  <c r="L20" i="5" s="1"/>
  <c r="G47" i="19" s="1"/>
  <c r="G102" i="19" s="1"/>
  <c r="K16" i="5"/>
  <c r="F16" i="5" s="1"/>
  <c r="K14" i="5"/>
  <c r="K15" i="5"/>
  <c r="L33" i="5"/>
  <c r="G33" i="5" s="1"/>
  <c r="L32" i="5"/>
  <c r="L31" i="5"/>
  <c r="L30" i="5"/>
  <c r="L29" i="5"/>
  <c r="G29" i="5" s="1"/>
  <c r="K51" i="3"/>
  <c r="P28" i="3"/>
  <c r="K15" i="3"/>
  <c r="F15" i="3" s="1"/>
  <c r="K14" i="3"/>
  <c r="F14" i="3" s="1"/>
  <c r="J35" i="3"/>
  <c r="J32" i="3"/>
  <c r="U18" i="3" s="1"/>
  <c r="G18" i="3"/>
  <c r="K16" i="2"/>
  <c r="K15" i="2"/>
  <c r="K14" i="2"/>
  <c r="Q66" i="2"/>
  <c r="Q65" i="2"/>
  <c r="Q64" i="2"/>
  <c r="Q63" i="2"/>
  <c r="Q62" i="2"/>
  <c r="Q61" i="2"/>
  <c r="Q60" i="2"/>
  <c r="Q59" i="2"/>
  <c r="Q58" i="2"/>
  <c r="Q57" i="2"/>
  <c r="Q56" i="2"/>
  <c r="Q55" i="2"/>
  <c r="Q54" i="2"/>
  <c r="Q53" i="2"/>
  <c r="Q52" i="2"/>
  <c r="Q51" i="2"/>
  <c r="Q50" i="2"/>
  <c r="Q49" i="2"/>
  <c r="Q48" i="2"/>
  <c r="Q47" i="2"/>
  <c r="Q46" i="2"/>
  <c r="Q45" i="2"/>
  <c r="Q44" i="2"/>
  <c r="L44" i="2"/>
  <c r="Q43" i="2"/>
  <c r="L43" i="2" s="1"/>
  <c r="Q41" i="2"/>
  <c r="L41" i="2" s="1"/>
  <c r="Q40" i="2"/>
  <c r="L40" i="2" s="1"/>
  <c r="Q39" i="2"/>
  <c r="L39" i="2" s="1"/>
  <c r="Q38" i="2"/>
  <c r="L38" i="2" s="1"/>
  <c r="Q37" i="2"/>
  <c r="L37" i="2" s="1"/>
  <c r="E11" i="17"/>
  <c r="E12" i="17"/>
  <c r="D11" i="12" s="1"/>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G23" i="1"/>
  <c r="G24" i="1" s="1"/>
  <c r="D52" i="19" s="1"/>
  <c r="H23" i="1"/>
  <c r="H24" i="1" s="1"/>
  <c r="D50" i="19" s="1"/>
  <c r="I23" i="1"/>
  <c r="I24" i="1" s="1"/>
  <c r="D51" i="19" s="1"/>
  <c r="K15" i="1"/>
  <c r="F15" i="1" s="1"/>
  <c r="K16" i="1"/>
  <c r="F16" i="1" s="1"/>
  <c r="K19" i="1"/>
  <c r="F19" i="1" s="1"/>
  <c r="L40" i="1"/>
  <c r="G40" i="1" s="1"/>
  <c r="L41" i="1"/>
  <c r="G41" i="1" s="1"/>
  <c r="L42" i="1"/>
  <c r="G42" i="1"/>
  <c r="L43" i="1"/>
  <c r="G43" i="1" s="1"/>
  <c r="L44" i="1"/>
  <c r="G44" i="1"/>
  <c r="L45" i="1"/>
  <c r="G45" i="1" s="1"/>
  <c r="L46" i="1"/>
  <c r="G46" i="1" s="1"/>
  <c r="L47" i="1"/>
  <c r="G47" i="1" s="1"/>
  <c r="L48" i="1"/>
  <c r="G48" i="1" s="1"/>
  <c r="L49" i="1"/>
  <c r="G49" i="1" s="1"/>
  <c r="L50" i="1"/>
  <c r="G50" i="1"/>
  <c r="L51" i="1"/>
  <c r="G51" i="1" s="1"/>
  <c r="L52" i="1"/>
  <c r="G52" i="1"/>
  <c r="L53" i="1"/>
  <c r="G53" i="1" s="1"/>
  <c r="L54" i="1"/>
  <c r="G54" i="1" s="1"/>
  <c r="L55" i="1"/>
  <c r="G55" i="1" s="1"/>
  <c r="L56" i="1"/>
  <c r="G56" i="1" s="1"/>
  <c r="L57" i="1"/>
  <c r="G57" i="1" s="1"/>
  <c r="L58" i="1"/>
  <c r="G58" i="1"/>
  <c r="L59" i="1"/>
  <c r="G59" i="1" s="1"/>
  <c r="L60" i="1"/>
  <c r="G60" i="1"/>
  <c r="L61" i="1"/>
  <c r="G61" i="1" s="1"/>
  <c r="L62" i="1"/>
  <c r="G62" i="1" s="1"/>
  <c r="L63" i="1"/>
  <c r="G63" i="1" s="1"/>
  <c r="L64" i="1"/>
  <c r="G64" i="1" s="1"/>
  <c r="L65" i="1"/>
  <c r="G65" i="1" s="1"/>
  <c r="L66" i="1"/>
  <c r="G66" i="1"/>
  <c r="L67" i="1"/>
  <c r="G67" i="1" s="1"/>
  <c r="L68" i="1"/>
  <c r="G68" i="1"/>
  <c r="L69" i="1"/>
  <c r="G69" i="1" s="1"/>
  <c r="L70" i="1"/>
  <c r="G70" i="1" s="1"/>
  <c r="L71" i="1"/>
  <c r="G71" i="1" s="1"/>
  <c r="L72" i="1"/>
  <c r="G72" i="1" s="1"/>
  <c r="L73" i="1"/>
  <c r="G73" i="1" s="1"/>
  <c r="L74" i="1"/>
  <c r="G74" i="1"/>
  <c r="L75" i="1"/>
  <c r="G75" i="1" s="1"/>
  <c r="L76" i="1"/>
  <c r="G76" i="1"/>
  <c r="L77" i="1"/>
  <c r="G77" i="1" s="1"/>
  <c r="L78" i="1"/>
  <c r="G78" i="1" s="1"/>
  <c r="L79" i="1"/>
  <c r="G79" i="1" s="1"/>
  <c r="L80" i="1"/>
  <c r="G80" i="1" s="1"/>
  <c r="L81" i="1"/>
  <c r="G81" i="1" s="1"/>
  <c r="L82" i="1"/>
  <c r="G82" i="1"/>
  <c r="L83" i="1"/>
  <c r="G83" i="1" s="1"/>
  <c r="L39" i="1"/>
  <c r="G39" i="1"/>
  <c r="F30" i="1"/>
  <c r="C16" i="7"/>
  <c r="G48" i="6"/>
  <c r="G45" i="6"/>
  <c r="G44" i="6"/>
  <c r="G40" i="6"/>
  <c r="G37" i="6"/>
  <c r="G36" i="6"/>
  <c r="G33" i="6"/>
  <c r="G32" i="6"/>
  <c r="G29" i="6"/>
  <c r="G41" i="6"/>
  <c r="G20" i="6"/>
  <c r="G21" i="6" s="1"/>
  <c r="H52" i="19"/>
  <c r="F19" i="6"/>
  <c r="F16" i="6"/>
  <c r="F15" i="6"/>
  <c r="H20" i="6"/>
  <c r="H21" i="6" s="1"/>
  <c r="I21" i="6"/>
  <c r="H51" i="19" s="1"/>
  <c r="L20" i="6"/>
  <c r="J21" i="6"/>
  <c r="H53" i="19" s="1"/>
  <c r="M20" i="6"/>
  <c r="N20" i="6"/>
  <c r="N21" i="6" s="1"/>
  <c r="H45" i="19" s="1"/>
  <c r="H100" i="19" s="1"/>
  <c r="O20" i="6"/>
  <c r="O21" i="6" s="1"/>
  <c r="H44" i="19" s="1"/>
  <c r="P20" i="6"/>
  <c r="P21" i="6" s="1"/>
  <c r="H43" i="19" s="1"/>
  <c r="Q20" i="6"/>
  <c r="Q21" i="6" s="1"/>
  <c r="R20" i="6"/>
  <c r="R21" i="6" s="1"/>
  <c r="H41" i="19" s="1"/>
  <c r="H96" i="19" s="1"/>
  <c r="S20" i="6"/>
  <c r="S21" i="6" s="1"/>
  <c r="T20" i="6"/>
  <c r="T21" i="6"/>
  <c r="H39" i="19" s="1"/>
  <c r="U20" i="6"/>
  <c r="U21" i="6" s="1"/>
  <c r="H38" i="19" s="1"/>
  <c r="H93" i="19" s="1"/>
  <c r="V20" i="6"/>
  <c r="V21" i="6" s="1"/>
  <c r="H37" i="19" s="1"/>
  <c r="W20" i="6"/>
  <c r="W21" i="6" s="1"/>
  <c r="H94" i="19"/>
  <c r="H40" i="19"/>
  <c r="H95" i="19" s="1"/>
  <c r="H42" i="19"/>
  <c r="H97" i="19" s="1"/>
  <c r="H50" i="19"/>
  <c r="M21" i="6"/>
  <c r="L21" i="6"/>
  <c r="G34" i="6"/>
  <c r="V19" i="5"/>
  <c r="W19" i="5"/>
  <c r="W20" i="5" s="1"/>
  <c r="G36" i="19" s="1"/>
  <c r="F15" i="5"/>
  <c r="F14" i="5"/>
  <c r="G32" i="5"/>
  <c r="G31" i="5"/>
  <c r="G30" i="5"/>
  <c r="G19" i="5"/>
  <c r="G20" i="5" s="1"/>
  <c r="G52" i="19" s="1"/>
  <c r="H19" i="5"/>
  <c r="H20" i="5" s="1"/>
  <c r="G50" i="19" s="1"/>
  <c r="I19" i="5"/>
  <c r="J19" i="5"/>
  <c r="M19" i="5"/>
  <c r="M20" i="5" s="1"/>
  <c r="G46" i="19" s="1"/>
  <c r="G101" i="19" s="1"/>
  <c r="S19" i="5"/>
  <c r="S20" i="5" s="1"/>
  <c r="G40" i="19" s="1"/>
  <c r="G95" i="19" s="1"/>
  <c r="T19" i="5"/>
  <c r="T20" i="5" s="1"/>
  <c r="G39" i="19" s="1"/>
  <c r="U19" i="5"/>
  <c r="H47" i="19"/>
  <c r="H102" i="19" s="1"/>
  <c r="H46" i="19"/>
  <c r="H101" i="19" s="1"/>
  <c r="V20" i="5"/>
  <c r="G37" i="19" s="1"/>
  <c r="U20" i="5"/>
  <c r="J20" i="5"/>
  <c r="G53" i="19" s="1"/>
  <c r="I20" i="5"/>
  <c r="G51" i="19" s="1"/>
  <c r="G38" i="19"/>
  <c r="G93" i="19" s="1"/>
  <c r="H21" i="2"/>
  <c r="E50"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s="1"/>
  <c r="N16" i="3"/>
  <c r="O16" i="3"/>
  <c r="P16" i="3"/>
  <c r="J16" i="3"/>
  <c r="G16" i="3"/>
  <c r="T17" i="3"/>
  <c r="T16" i="3"/>
  <c r="C16" i="10"/>
  <c r="C17" i="10"/>
  <c r="C18" i="10"/>
  <c r="C19" i="10"/>
  <c r="C20" i="10"/>
  <c r="C21" i="10"/>
  <c r="C22" i="10"/>
  <c r="C43" i="10"/>
  <c r="C85" i="10"/>
  <c r="C84" i="10"/>
  <c r="C83" i="10"/>
  <c r="C49" i="10"/>
  <c r="C48" i="10"/>
  <c r="C14" i="10"/>
  <c r="C13" i="10"/>
  <c r="C15" i="10"/>
  <c r="K28" i="3"/>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O21" i="2"/>
  <c r="E44" i="19"/>
  <c r="Q21" i="2"/>
  <c r="R21" i="2"/>
  <c r="S21" i="2"/>
  <c r="U21" i="2"/>
  <c r="M21" i="2"/>
  <c r="E46" i="19"/>
  <c r="E101" i="19" s="1"/>
  <c r="I21" i="2"/>
  <c r="E51" i="19" s="1"/>
  <c r="J21" i="2"/>
  <c r="E53" i="19" s="1"/>
  <c r="G21" i="2"/>
  <c r="E52" i="19"/>
  <c r="F16" i="2"/>
  <c r="F15" i="2"/>
  <c r="U23" i="1"/>
  <c r="U24" i="1" s="1"/>
  <c r="N23" i="1"/>
  <c r="D45" i="19" s="1"/>
  <c r="P23" i="1"/>
  <c r="P24" i="1" s="1"/>
  <c r="Q23" i="1"/>
  <c r="Q24" i="1" s="1"/>
  <c r="R23" i="1"/>
  <c r="R24" i="1" s="1"/>
  <c r="S23" i="1"/>
  <c r="T23" i="1"/>
  <c r="T24" i="1" s="1"/>
  <c r="M23" i="1"/>
  <c r="M24" i="1" s="1"/>
  <c r="J23" i="1"/>
  <c r="J24" i="1" s="1"/>
  <c r="D53" i="19" s="1"/>
  <c r="S24" i="1"/>
  <c r="N24" i="1"/>
  <c r="F14" i="2"/>
  <c r="D7" i="1"/>
  <c r="C40" i="1" s="1"/>
  <c r="C14" i="7"/>
  <c r="C15" i="7"/>
  <c r="K25" i="1"/>
  <c r="E48" i="19" l="1"/>
  <c r="E55" i="19" s="1"/>
  <c r="D46" i="19"/>
  <c r="D101" i="19" s="1"/>
  <c r="U17" i="3"/>
  <c r="M17" i="3"/>
  <c r="H17" i="3"/>
  <c r="R16" i="3"/>
  <c r="Q16" i="3"/>
  <c r="P17" i="3"/>
  <c r="O17" i="3"/>
  <c r="N17" i="3"/>
  <c r="N20" i="3" s="1"/>
  <c r="F45" i="19" s="1"/>
  <c r="I18" i="3"/>
  <c r="G97" i="19"/>
  <c r="C51" i="3"/>
  <c r="C66" i="3"/>
  <c r="C86" i="3"/>
  <c r="P43" i="3"/>
  <c r="P75" i="3"/>
  <c r="K75" i="3" s="1"/>
  <c r="P83" i="3"/>
  <c r="K83" i="3" s="1"/>
  <c r="N90" i="19"/>
  <c r="D88" i="19"/>
  <c r="N27" i="19"/>
  <c r="G28" i="19"/>
  <c r="F33" i="19"/>
  <c r="L21" i="3"/>
  <c r="C42" i="2"/>
  <c r="D61" i="19"/>
  <c r="N61" i="19" s="1"/>
  <c r="D100" i="19"/>
  <c r="E54" i="19"/>
  <c r="I17" i="3"/>
  <c r="I20" i="3" s="1"/>
  <c r="F51" i="19" s="1"/>
  <c r="N51" i="19" s="1"/>
  <c r="S16" i="3"/>
  <c r="S19" i="3" s="1"/>
  <c r="R17" i="3"/>
  <c r="Q17" i="3"/>
  <c r="U16" i="3"/>
  <c r="U20" i="3" s="1"/>
  <c r="F38" i="19" s="1"/>
  <c r="G17" i="3"/>
  <c r="L16" i="3"/>
  <c r="G94" i="19"/>
  <c r="H98" i="19"/>
  <c r="Q42" i="2"/>
  <c r="L42" i="2" s="1"/>
  <c r="S18" i="3"/>
  <c r="C53" i="3"/>
  <c r="N57" i="19"/>
  <c r="D93" i="19"/>
  <c r="N63" i="19"/>
  <c r="L103" i="19"/>
  <c r="I102" i="19"/>
  <c r="I103" i="19" s="1"/>
  <c r="F88" i="19"/>
  <c r="N88" i="19" s="1"/>
  <c r="N84" i="19"/>
  <c r="N85" i="19"/>
  <c r="K21" i="3"/>
  <c r="S17" i="3"/>
  <c r="J17" i="3"/>
  <c r="I16" i="3"/>
  <c r="H16" i="3"/>
  <c r="M16" i="3"/>
  <c r="L17" i="3"/>
  <c r="H99" i="19"/>
  <c r="N18" i="3"/>
  <c r="L18" i="3"/>
  <c r="C85" i="3"/>
  <c r="P63" i="3"/>
  <c r="K63" i="3" s="1"/>
  <c r="P71" i="3"/>
  <c r="P87" i="3"/>
  <c r="K87" i="3" s="1"/>
  <c r="D94" i="19"/>
  <c r="E28" i="19"/>
  <c r="N33" i="19"/>
  <c r="N65" i="19"/>
  <c r="N68" i="19"/>
  <c r="N69" i="19"/>
  <c r="J96" i="19"/>
  <c r="N70" i="19"/>
  <c r="N71" i="19"/>
  <c r="D76" i="19"/>
  <c r="N74" i="19"/>
  <c r="N75" i="19"/>
  <c r="L76" i="19"/>
  <c r="E99" i="19"/>
  <c r="E103" i="19" s="1"/>
  <c r="C42" i="1"/>
  <c r="N37" i="19"/>
  <c r="G92" i="19"/>
  <c r="N36" i="19"/>
  <c r="G91" i="19"/>
  <c r="G48" i="19"/>
  <c r="S20" i="3"/>
  <c r="F40" i="19" s="1"/>
  <c r="K16" i="3"/>
  <c r="H54" i="19"/>
  <c r="C39" i="1"/>
  <c r="C41" i="1"/>
  <c r="D48" i="19"/>
  <c r="D54" i="19"/>
  <c r="C43" i="1"/>
  <c r="D9" i="19"/>
  <c r="E9" i="19" s="1"/>
  <c r="K23" i="1"/>
  <c r="K17" i="3"/>
  <c r="F17" i="3" s="1"/>
  <c r="D10" i="19" s="1"/>
  <c r="G54" i="19"/>
  <c r="H92" i="19"/>
  <c r="H48" i="19"/>
  <c r="D102" i="19"/>
  <c r="C29" i="3"/>
  <c r="K20" i="2"/>
  <c r="Q18" i="3"/>
  <c r="C41" i="3"/>
  <c r="C59" i="3"/>
  <c r="C30" i="3"/>
  <c r="K19" i="5"/>
  <c r="K20" i="5" s="1"/>
  <c r="T18" i="3"/>
  <c r="T19" i="3" s="1"/>
  <c r="R18" i="3"/>
  <c r="P18" i="3"/>
  <c r="P19" i="3" s="1"/>
  <c r="M18" i="3"/>
  <c r="J18" i="3"/>
  <c r="H18" i="3"/>
  <c r="H20" i="3" s="1"/>
  <c r="F50" i="19" s="1"/>
  <c r="O18" i="3"/>
  <c r="D99" i="19"/>
  <c r="C47" i="3"/>
  <c r="C37" i="3"/>
  <c r="C43" i="3"/>
  <c r="C46" i="3"/>
  <c r="C49" i="3"/>
  <c r="C54" i="3"/>
  <c r="C57" i="3"/>
  <c r="C63" i="3"/>
  <c r="C67" i="3"/>
  <c r="C69" i="3"/>
  <c r="C75" i="3"/>
  <c r="C79" i="3"/>
  <c r="C83" i="3"/>
  <c r="K39" i="3"/>
  <c r="K43" i="3"/>
  <c r="K55" i="3"/>
  <c r="K59" i="3"/>
  <c r="K71" i="3"/>
  <c r="P67" i="3"/>
  <c r="K67" i="3" s="1"/>
  <c r="N83" i="19"/>
  <c r="I48" i="19"/>
  <c r="I55" i="19" s="1"/>
  <c r="K22" i="2"/>
  <c r="K21" i="5"/>
  <c r="K20" i="6"/>
  <c r="F20" i="6" s="1"/>
  <c r="F21" i="6" s="1"/>
  <c r="J93" i="19"/>
  <c r="J48" i="19"/>
  <c r="J55" i="19" s="1"/>
  <c r="J97" i="19"/>
  <c r="N82" i="19"/>
  <c r="D95" i="19"/>
  <c r="K48" i="19"/>
  <c r="K55" i="19" s="1"/>
  <c r="K93" i="19"/>
  <c r="K103" i="19" s="1"/>
  <c r="F76" i="19"/>
  <c r="N76" i="19" s="1"/>
  <c r="N66" i="19"/>
  <c r="C38" i="2"/>
  <c r="F100" i="19" l="1"/>
  <c r="N45" i="19"/>
  <c r="K21" i="6"/>
  <c r="U19" i="3"/>
  <c r="H55" i="19"/>
  <c r="T20" i="3"/>
  <c r="F39" i="19" s="1"/>
  <c r="N28" i="19"/>
  <c r="I19" i="3"/>
  <c r="J103" i="19"/>
  <c r="H103" i="19"/>
  <c r="P20" i="3"/>
  <c r="F43" i="19" s="1"/>
  <c r="L19" i="3"/>
  <c r="L20" i="3"/>
  <c r="F47" i="19" s="1"/>
  <c r="N100" i="19"/>
  <c r="G20" i="3"/>
  <c r="F52" i="19" s="1"/>
  <c r="N52" i="19" s="1"/>
  <c r="G19" i="3"/>
  <c r="N19" i="3"/>
  <c r="N50" i="19"/>
  <c r="K18" i="3"/>
  <c r="F18" i="3" s="1"/>
  <c r="M19" i="3"/>
  <c r="J20" i="3"/>
  <c r="F53" i="19" s="1"/>
  <c r="N53" i="19" s="1"/>
  <c r="J19" i="3"/>
  <c r="F20" i="2"/>
  <c r="F21" i="2" s="1"/>
  <c r="K21" i="2"/>
  <c r="F30" i="2" s="1"/>
  <c r="D55" i="19"/>
  <c r="F95" i="19"/>
  <c r="N95" i="19" s="1"/>
  <c r="N40" i="19"/>
  <c r="O19" i="3"/>
  <c r="O20" i="3"/>
  <c r="F44" i="19" s="1"/>
  <c r="N38" i="19"/>
  <c r="F93" i="19"/>
  <c r="F16" i="3"/>
  <c r="F98" i="19"/>
  <c r="N98" i="19" s="1"/>
  <c r="N43" i="19"/>
  <c r="N39" i="19"/>
  <c r="F94" i="19"/>
  <c r="N94" i="19" s="1"/>
  <c r="D103" i="19"/>
  <c r="G55" i="19"/>
  <c r="H19" i="3"/>
  <c r="R19" i="3"/>
  <c r="R20" i="3"/>
  <c r="F41" i="19" s="1"/>
  <c r="F19" i="5"/>
  <c r="F20" i="5" s="1"/>
  <c r="Q19" i="3"/>
  <c r="Q20" i="3"/>
  <c r="F42" i="19" s="1"/>
  <c r="M20" i="3"/>
  <c r="F46" i="19" s="1"/>
  <c r="K24" i="1"/>
  <c r="F32" i="1" s="1"/>
  <c r="F31" i="1"/>
  <c r="F23" i="1"/>
  <c r="F24" i="1" s="1"/>
  <c r="N91" i="19"/>
  <c r="G103" i="19"/>
  <c r="N92" i="19"/>
  <c r="K20" i="3" l="1"/>
  <c r="K19" i="3"/>
  <c r="F102" i="19"/>
  <c r="N102" i="19" s="1"/>
  <c r="N47" i="19"/>
  <c r="F20" i="3"/>
  <c r="F19" i="3"/>
  <c r="D11" i="19"/>
  <c r="N93" i="19"/>
  <c r="F101" i="19"/>
  <c r="N101" i="19" s="1"/>
  <c r="N46" i="19"/>
  <c r="N41" i="19"/>
  <c r="F96" i="19"/>
  <c r="N96" i="19" s="1"/>
  <c r="F97" i="19"/>
  <c r="N97" i="19" s="1"/>
  <c r="N42" i="19"/>
  <c r="F99" i="19"/>
  <c r="N99" i="19" s="1"/>
  <c r="N44" i="19"/>
  <c r="F48" i="19"/>
  <c r="F54" i="19"/>
  <c r="N54" i="19" s="1"/>
  <c r="F55" i="19" l="1"/>
  <c r="N55" i="19" s="1"/>
  <c r="N48" i="19"/>
  <c r="F103" i="19"/>
  <c r="N103" i="19" s="1"/>
</calcChain>
</file>

<file path=xl/sharedStrings.xml><?xml version="1.0" encoding="utf-8"?>
<sst xmlns="http://schemas.openxmlformats.org/spreadsheetml/2006/main" count="1199" uniqueCount="446">
  <si>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</si>
  <si>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</si>
  <si>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</si>
  <si>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</si>
  <si>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</si>
  <si>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</si>
  <si>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</si>
  <si>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</si>
  <si>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</si>
  <si>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</si>
  <si>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</si>
  <si>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</si>
  <si>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</si>
  <si>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</si>
  <si>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</si>
  <si>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</si>
  <si>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</si>
  <si>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</si>
  <si>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</si>
  <si>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</si>
  <si>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</si>
  <si>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</si>
  <si>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</si>
  <si>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</si>
  <si>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</si>
  <si>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</si>
  <si>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</si>
  <si>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</si>
  <si>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</si>
  <si>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</si>
  <si>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</si>
  <si>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</si>
  <si>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</si>
  <si>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</si>
  <si>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</si>
  <si>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</si>
  <si>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</si>
  <si>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</si>
  <si>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</si>
  <si>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</si>
  <si>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</si>
  <si>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</si>
  <si>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</si>
  <si>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</si>
  <si>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</si>
  <si>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</si>
  <si>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</si>
  <si>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</si>
  <si>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</si>
  <si>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</si>
  <si>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</si>
  <si>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</si>
  <si>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</si>
  <si>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</si>
  <si>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</si>
  <si>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</si>
  <si>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</si>
  <si>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</si>
  <si>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</si>
  <si>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</si>
  <si>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</si>
  <si>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</si>
  <si>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</si>
  <si>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</si>
  <si>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</si>
  <si>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</si>
  <si>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</si>
  <si>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</si>
  <si>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</si>
  <si>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</si>
  <si>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</si>
  <si>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</si>
  <si>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</si>
  <si>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</si>
  <si>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</si>
  <si>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</si>
  <si>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</si>
  <si>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</si>
  <si>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</si>
  <si>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</si>
  <si>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</si>
  <si>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</si>
  <si>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</si>
  <si>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</si>
  <si>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</si>
  <si>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</si>
  <si>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</si>
  <si>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</si>
  <si>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</si>
  <si>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</si>
  <si>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</si>
  <si>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</si>
  <si>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</si>
  <si>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</si>
  <si>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</si>
  <si>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</si>
  <si>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</si>
  <si>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</si>
  <si>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</si>
  <si>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</si>
  <si>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</si>
  <si>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</si>
  <si>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</si>
  <si>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</si>
  <si>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</si>
  <si>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</si>
  <si>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</si>
  <si>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</si>
  <si>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</si>
  <si>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</si>
  <si>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</si>
  <si>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</si>
  <si>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</si>
  <si>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</si>
  <si>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</si>
  <si>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</si>
  <si>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</si>
  <si>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</si>
  <si>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</si>
  <si>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</si>
  <si>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</si>
  <si>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</si>
  <si>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</si>
  <si>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</si>
  <si>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</si>
  <si>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</si>
  <si>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</si>
  <si>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</si>
  <si>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</si>
  <si>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</si>
  <si>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</si>
  <si>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</si>
  <si>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</si>
  <si>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</si>
  <si>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</si>
  <si>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</si>
  <si>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</si>
  <si>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</si>
  <si>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</si>
  <si>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</si>
  <si>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</si>
  <si>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</si>
  <si>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</si>
  <si>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</si>
  <si>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</si>
  <si>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</si>
  <si>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</si>
  <si>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</si>
  <si>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</si>
  <si>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</si>
  <si>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</si>
  <si>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</si>
  <si>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</si>
  <si>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</si>
  <si>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</si>
  <si>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</si>
  <si>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</si>
  <si>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</si>
  <si>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</si>
  <si>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</si>
  <si>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</si>
  <si>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</si>
  <si>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</si>
  <si>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</si>
  <si>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</si>
  <si>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</si>
  <si>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</si>
  <si>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</si>
  <si>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</si>
  <si>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</si>
  <si>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</si>
  <si>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</si>
  <si>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</si>
  <si>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</si>
  <si>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</si>
  <si>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</si>
  <si>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</si>
  <si>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</si>
  <si>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</si>
  <si>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</si>
  <si>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</si>
  <si>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</si>
  <si>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</si>
  <si>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</si>
  <si>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</si>
  <si>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</si>
  <si>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</si>
  <si>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</si>
  <si>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</si>
  <si>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</si>
  <si>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</si>
  <si>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</si>
  <si>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</si>
  <si>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</si>
  <si>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</si>
  <si>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</si>
  <si>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</si>
  <si>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</si>
  <si>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</si>
  <si>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</si>
  <si>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</si>
  <si>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</si>
  <si>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</si>
  <si>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</si>
  <si>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</si>
  <si>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</si>
  <si>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</si>
  <si>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</si>
  <si>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</si>
  <si>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</si>
  <si>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</si>
  <si>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</si>
  <si>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</si>
  <si>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</si>
  <si>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</si>
  <si>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</si>
  <si>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</si>
  <si>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</si>
  <si>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</si>
  <si>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</si>
  <si>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</si>
  <si>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</si>
  <si>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</si>
  <si>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</si>
  <si>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</si>
  <si>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</si>
  <si>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</si>
  <si>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</si>
  <si>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</si>
  <si>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</si>
  <si>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</si>
  <si>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</si>
  <si>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</si>
  <si>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</si>
  <si>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</si>
  <si>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</si>
  <si>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</si>
  <si>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</si>
  <si>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</si>
  <si>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</si>
  <si>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</si>
  <si>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</si>
  <si>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</si>
  <si>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</si>
  <si>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</si>
  <si>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</si>
  <si>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</si>
  <si>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</si>
  <si>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</si>
  <si>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</si>
  <si>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</si>
  <si>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</si>
  <si>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</si>
  <si>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</si>
  <si>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</si>
  <si>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</si>
  <si>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</si>
  <si>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</si>
  <si>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</si>
  <si>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</si>
  <si>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</si>
  <si>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</si>
  <si>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</si>
  <si>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</si>
  <si>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</si>
  <si>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</si>
  <si>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</si>
  <si>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</si>
  <si>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</si>
  <si>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</si>
  <si>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</si>
  <si>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</si>
  <si>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</si>
  <si>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</si>
  <si>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</si>
  <si>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</si>
  <si>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</si>
  <si>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</si>
  <si>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</si>
  <si>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</si>
  <si>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</si>
  <si>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</si>
  <si>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</si>
  <si>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</si>
  <si>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</si>
  <si>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</si>
  <si>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</si>
  <si>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</si>
  <si>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</si>
  <si>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</si>
  <si>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</si>
  <si>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</si>
  <si>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</si>
  <si>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</si>
  <si>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</si>
  <si>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</si>
  <si>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</si>
  <si>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</si>
  <si>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</si>
  <si>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</si>
  <si>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</si>
  <si>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</si>
  <si>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</si>
  <si>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</si>
  <si>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</si>
  <si>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</si>
  <si>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</si>
  <si>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</si>
  <si>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</si>
  <si>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</si>
  <si>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</si>
  <si>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</si>
  <si>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</si>
  <si>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</si>
  <si>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</si>
  <si>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</si>
  <si>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</si>
  <si>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</si>
  <si>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</si>
  <si>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</si>
  <si>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</si>
  <si>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</si>
  <si>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</si>
  <si>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</si>
  <si>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</si>
  <si>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</si>
  <si>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</si>
  <si>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</si>
  <si>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</si>
  <si>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</si>
  <si>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</si>
  <si>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</si>
  <si>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</si>
  <si>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</si>
  <si>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</si>
  <si>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</si>
  <si>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</si>
  <si>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</si>
  <si>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</si>
  <si>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</si>
  <si>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</si>
  <si>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</si>
  <si>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</si>
  <si>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</si>
  <si>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</si>
  <si>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</si>
  <si>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</si>
  <si>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</si>
  <si>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</si>
  <si>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</si>
  <si>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</si>
  <si>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</si>
  <si>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</si>
  <si>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</si>
  <si>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</si>
  <si>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</si>
  <si>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</si>
  <si>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</si>
  <si>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</si>
  <si>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</si>
  <si>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</si>
  <si>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</si>
  <si>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</si>
  <si>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</si>
  <si>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</si>
  <si>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</si>
  <si>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</si>
  <si>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</si>
  <si>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</si>
  <si>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</si>
  <si>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</si>
  <si>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</si>
  <si>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</si>
  <si>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</si>
  <si>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</si>
  <si>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</si>
  <si>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</si>
  <si>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</si>
  <si>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</si>
  <si>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</si>
  <si>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</si>
  <si>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</si>
  <si>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</si>
  <si>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</si>
  <si>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</si>
  <si>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</si>
  <si>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</si>
  <si>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</si>
  <si>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</si>
  <si>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</si>
  <si>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</si>
  <si>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</si>
  <si>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</si>
  <si>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</si>
  <si>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</si>
  <si>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</si>
  <si>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</si>
  <si>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</si>
  <si>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</si>
  <si>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</si>
  <si>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</si>
  <si>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</si>
  <si>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</si>
  <si>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</si>
  <si>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</si>
  <si>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</si>
  <si>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</si>
  <si>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</si>
  <si>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</si>
  <si>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</si>
  <si>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</si>
  <si>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</si>
  <si>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</si>
  <si>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</si>
  <si>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</si>
  <si>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</si>
  <si>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</si>
  <si>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</si>
  <si>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</si>
  <si>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</si>
  <si>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</si>
  <si>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</si>
  <si>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</si>
  <si>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</si>
  <si>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</si>
  <si>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</si>
  <si>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</si>
  <si>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10877 CONDUCTOR BLVD #300</t>
  </si>
  <si>
    <t>95685-9682</t>
  </si>
  <si>
    <t>SUTTER CREEK</t>
  </si>
  <si>
    <t>Mike Geiss</t>
  </si>
  <si>
    <t>Consultant</t>
  </si>
  <si>
    <t>GSD</t>
  </si>
  <si>
    <t>NAMI</t>
  </si>
  <si>
    <t>Client and Family Advocate</t>
  </si>
  <si>
    <t>Wellness Center</t>
  </si>
  <si>
    <t>Labyrinth</t>
  </si>
  <si>
    <t>First 5</t>
  </si>
  <si>
    <t>Nexus FRC Outreach &amp; Engagement</t>
  </si>
  <si>
    <t>Nexus Building Blocks</t>
  </si>
  <si>
    <t>Nexus Youth Empowerment</t>
  </si>
  <si>
    <t>Nexus Promotores de Salud</t>
  </si>
  <si>
    <t>Resource Connection Grandparents Program</t>
  </si>
  <si>
    <t>Isolated Seniors Project</t>
  </si>
  <si>
    <t>IT</t>
  </si>
  <si>
    <t>FY15/16 expenditure posted in FY16/17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</si>
</sst>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8"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2"/>
      <name val="Times New Roman"/>
      <family val="1"/>
    </font>
    <font>
      <sz val="12"/>
      <color indexed="12"/>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
      <left style="medium">
        <color rgb="FF3333CC"/>
      </left>
      <right style="medium">
        <color rgb="FF3333CC"/>
      </right>
      <top style="thin">
        <color rgb="FF3333CC"/>
      </top>
      <bottom style="thin">
        <color rgb="FF3333CC"/>
      </bottom>
      <diagonal/>
    </border>
  </borders>
  <cellStyleXfs count="8">
    <xf numFmtId="0" fontId="0" fillId="0" borderId="0"/>
    <xf numFmtId="0" fontId="15" fillId="0" borderId="0" applyNumberFormat="0" applyFill="0" applyBorder="0" applyAlignment="0" applyProtection="0"/>
    <xf numFmtId="0" fontId="3" fillId="0" borderId="0"/>
    <xf numFmtId="0" fontId="16" fillId="0" borderId="0"/>
    <xf numFmtId="0" fontId="14" fillId="0" borderId="0"/>
    <xf numFmtId="0" fontId="13" fillId="0" borderId="0"/>
    <xf numFmtId="0" fontId="11" fillId="0" borderId="0"/>
    <xf numFmtId="9" fontId="13" fillId="0" borderId="0" applyFont="0" applyFill="0" applyBorder="0" applyAlignment="0" applyProtection="0"/>
  </cellStyleXfs>
  <cellXfs count="524">
    <xf numFmtId="0" fontId="0" fillId="0" borderId="0" xfId="0"/>
    <xf numFmtId="0" fontId="2" fillId="0" borderId="0" xfId="0" applyFont="1" applyBorder="1" applyAlignment="1" applyProtection="1">
      <alignment vertical="center"/>
    </xf>
    <xf numFmtId="164" fontId="17" fillId="0" borderId="0" xfId="0" applyNumberFormat="1" applyFont="1" applyFill="1" applyBorder="1" applyProtection="1"/>
    <xf numFmtId="0" fontId="17" fillId="0" borderId="0" xfId="0" applyFont="1" applyFill="1" applyProtection="1"/>
    <xf numFmtId="0" fontId="17" fillId="0" borderId="0" xfId="0" applyFont="1" applyFill="1" applyBorder="1" applyProtection="1"/>
    <xf numFmtId="14" fontId="18" fillId="0" borderId="1" xfId="0" applyNumberFormat="1" applyFont="1" applyFill="1" applyBorder="1" applyAlignment="1" applyProtection="1">
      <alignment horizontal="center"/>
    </xf>
    <xf numFmtId="14" fontId="17"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8"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7" fillId="0" borderId="1" xfId="0" applyNumberFormat="1" applyFont="1" applyFill="1" applyBorder="1" applyProtection="1"/>
    <xf numFmtId="9" fontId="17" fillId="3" borderId="1" xfId="7" applyFont="1" applyFill="1" applyBorder="1" applyProtection="1"/>
    <xf numFmtId="0" fontId="17" fillId="0" borderId="0" xfId="0" applyFont="1" applyProtection="1"/>
    <xf numFmtId="0" fontId="17"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7" applyFont="1" applyFill="1" applyBorder="1" applyAlignment="1" applyProtection="1">
      <alignment horizontal="center" wrapText="1"/>
    </xf>
    <xf numFmtId="0" fontId="17" fillId="0" borderId="3" xfId="0" applyFont="1" applyFill="1" applyBorder="1" applyProtection="1"/>
    <xf numFmtId="164" fontId="17" fillId="3" borderId="4" xfId="0" applyNumberFormat="1" applyFont="1" applyFill="1" applyBorder="1" applyProtection="1"/>
    <xf numFmtId="164" fontId="17" fillId="0" borderId="4" xfId="0" applyNumberFormat="1" applyFont="1" applyFill="1" applyBorder="1" applyProtection="1"/>
    <xf numFmtId="0" fontId="17" fillId="0" borderId="5" xfId="0" applyFont="1" applyFill="1" applyBorder="1" applyProtection="1"/>
    <xf numFmtId="164" fontId="17" fillId="0" borderId="6" xfId="0" applyNumberFormat="1" applyFont="1" applyFill="1" applyBorder="1" applyProtection="1"/>
    <xf numFmtId="0" fontId="18" fillId="0" borderId="7" xfId="0" applyFont="1" applyFill="1" applyBorder="1" applyProtection="1"/>
    <xf numFmtId="0" fontId="19" fillId="4" borderId="8" xfId="0" applyFont="1" applyFill="1" applyBorder="1" applyProtection="1"/>
    <xf numFmtId="0" fontId="20"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7" fillId="5" borderId="4" xfId="0" applyNumberFormat="1" applyFont="1" applyFill="1" applyBorder="1" applyProtection="1"/>
    <xf numFmtId="164" fontId="17" fillId="3" borderId="6" xfId="0" applyNumberFormat="1" applyFont="1" applyFill="1" applyBorder="1" applyProtection="1"/>
    <xf numFmtId="0" fontId="18" fillId="0" borderId="2" xfId="0" applyFont="1" applyFill="1" applyBorder="1" applyProtection="1"/>
    <xf numFmtId="164" fontId="17"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20" fillId="4" borderId="4" xfId="0" applyFont="1" applyFill="1" applyBorder="1" applyProtection="1"/>
    <xf numFmtId="0" fontId="17" fillId="3" borderId="4" xfId="0" applyFont="1" applyFill="1" applyBorder="1" applyProtection="1"/>
    <xf numFmtId="164" fontId="17" fillId="0" borderId="46" xfId="0" applyNumberFormat="1" applyFont="1" applyFill="1" applyBorder="1" applyProtection="1">
      <protection locked="0"/>
    </xf>
    <xf numFmtId="164" fontId="17" fillId="3" borderId="11" xfId="0" applyNumberFormat="1" applyFont="1" applyFill="1" applyBorder="1" applyProtection="1"/>
    <xf numFmtId="164" fontId="17" fillId="3" borderId="3" xfId="0" applyNumberFormat="1" applyFont="1" applyFill="1" applyBorder="1" applyProtection="1"/>
    <xf numFmtId="164" fontId="17" fillId="3" borderId="9" xfId="0" applyNumberFormat="1" applyFont="1" applyFill="1" applyBorder="1" applyProtection="1"/>
    <xf numFmtId="164" fontId="17" fillId="0" borderId="9" xfId="0" applyNumberFormat="1" applyFont="1" applyFill="1" applyBorder="1" applyProtection="1"/>
    <xf numFmtId="164" fontId="17" fillId="3" borderId="12" xfId="0" applyNumberFormat="1" applyFont="1" applyFill="1" applyBorder="1" applyProtection="1"/>
    <xf numFmtId="164" fontId="17" fillId="3" borderId="13" xfId="0" applyNumberFormat="1" applyFont="1" applyFill="1" applyBorder="1" applyProtection="1"/>
    <xf numFmtId="164" fontId="17" fillId="3" borderId="14" xfId="0" applyNumberFormat="1" applyFont="1" applyFill="1" applyBorder="1" applyProtection="1"/>
    <xf numFmtId="164" fontId="17" fillId="3" borderId="10" xfId="0" applyNumberFormat="1" applyFont="1" applyFill="1" applyBorder="1" applyProtection="1"/>
    <xf numFmtId="164" fontId="17" fillId="3" borderId="8" xfId="0" applyNumberFormat="1" applyFont="1" applyFill="1" applyBorder="1" applyProtection="1"/>
    <xf numFmtId="164" fontId="17" fillId="0" borderId="13" xfId="0" applyNumberFormat="1" applyFont="1" applyFill="1" applyBorder="1" applyProtection="1"/>
    <xf numFmtId="0" fontId="20" fillId="4" borderId="15" xfId="0" applyFont="1" applyFill="1" applyBorder="1" applyProtection="1"/>
    <xf numFmtId="164" fontId="17" fillId="0" borderId="16" xfId="0" applyNumberFormat="1" applyFont="1" applyFill="1" applyBorder="1" applyProtection="1"/>
    <xf numFmtId="164" fontId="17" fillId="3" borderId="17" xfId="0" applyNumberFormat="1" applyFont="1" applyFill="1" applyBorder="1" applyProtection="1"/>
    <xf numFmtId="164" fontId="2" fillId="3" borderId="1" xfId="0" applyNumberFormat="1" applyFont="1" applyFill="1" applyBorder="1" applyProtection="1"/>
    <xf numFmtId="164" fontId="18" fillId="3" borderId="1" xfId="0" applyNumberFormat="1" applyFont="1" applyFill="1" applyBorder="1" applyProtection="1"/>
    <xf numFmtId="14" fontId="17"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7" applyNumberFormat="1" applyFont="1" applyFill="1" applyBorder="1" applyAlignment="1" applyProtection="1">
      <alignment horizontal="center"/>
    </xf>
    <xf numFmtId="0" fontId="17"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8" fillId="0" borderId="0" xfId="0" applyFont="1" applyFill="1" applyBorder="1" applyProtection="1"/>
    <xf numFmtId="0" fontId="6" fillId="0" borderId="0" xfId="0" applyFont="1" applyFill="1" applyBorder="1" applyAlignment="1" applyProtection="1">
      <alignment horizontal="left"/>
    </xf>
    <xf numFmtId="14" fontId="18"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8" fillId="3" borderId="1" xfId="0" applyNumberFormat="1" applyFont="1" applyFill="1" applyBorder="1" applyAlignment="1" applyProtection="1">
      <alignment horizontal="center"/>
    </xf>
    <xf numFmtId="0" fontId="18" fillId="3" borderId="1" xfId="0" applyFont="1" applyFill="1" applyBorder="1" applyProtection="1"/>
    <xf numFmtId="14" fontId="18"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8"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8" fillId="0" borderId="19" xfId="0" applyFont="1" applyFill="1" applyBorder="1" applyAlignment="1" applyProtection="1">
      <alignment horizontal="center" vertical="center" wrapText="1"/>
    </xf>
    <xf numFmtId="9" fontId="2" fillId="0" borderId="19" xfId="7"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8" fillId="3" borderId="19" xfId="0" applyFont="1" applyFill="1" applyBorder="1" applyProtection="1"/>
    <xf numFmtId="14" fontId="18" fillId="3" borderId="19" xfId="0" applyNumberFormat="1" applyFont="1" applyFill="1" applyBorder="1" applyProtection="1"/>
    <xf numFmtId="164" fontId="18" fillId="3" borderId="19" xfId="0" applyNumberFormat="1" applyFont="1" applyFill="1" applyBorder="1" applyProtection="1"/>
    <xf numFmtId="164" fontId="18" fillId="3" borderId="15" xfId="0" applyNumberFormat="1" applyFont="1" applyFill="1" applyBorder="1" applyProtection="1"/>
    <xf numFmtId="164" fontId="18" fillId="3" borderId="16" xfId="0" applyNumberFormat="1" applyFont="1" applyFill="1" applyBorder="1" applyProtection="1"/>
    <xf numFmtId="0" fontId="17"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9" fillId="4" borderId="20" xfId="0" applyFont="1" applyFill="1" applyBorder="1" applyAlignment="1" applyProtection="1"/>
    <xf numFmtId="0" fontId="19" fillId="4" borderId="21" xfId="0" applyFont="1" applyFill="1" applyBorder="1" applyAlignment="1" applyProtection="1"/>
    <xf numFmtId="0" fontId="19" fillId="4" borderId="22" xfId="0" applyFont="1" applyFill="1" applyBorder="1" applyAlignment="1" applyProtection="1"/>
    <xf numFmtId="0" fontId="19" fillId="4" borderId="23" xfId="0" applyFont="1" applyFill="1" applyBorder="1" applyAlignment="1" applyProtection="1"/>
    <xf numFmtId="0" fontId="20" fillId="6" borderId="0" xfId="0" applyFont="1" applyFill="1" applyBorder="1" applyAlignment="1" applyProtection="1">
      <alignment horizontal="right"/>
    </xf>
    <xf numFmtId="9" fontId="19" fillId="6" borderId="17" xfId="7" applyFont="1" applyFill="1" applyBorder="1" applyAlignment="1" applyProtection="1">
      <alignment horizontal="center" wrapText="1"/>
    </xf>
    <xf numFmtId="9" fontId="19" fillId="6" borderId="15" xfId="7" applyFont="1" applyFill="1" applyBorder="1" applyAlignment="1" applyProtection="1">
      <alignment horizontal="center" wrapText="1"/>
    </xf>
    <xf numFmtId="0" fontId="17" fillId="0" borderId="17" xfId="0" applyFont="1" applyFill="1" applyBorder="1" applyProtection="1"/>
    <xf numFmtId="0" fontId="17" fillId="0" borderId="0" xfId="0" applyFont="1" applyFill="1" applyAlignment="1" applyProtection="1">
      <alignment horizontal="center"/>
    </xf>
    <xf numFmtId="0" fontId="17" fillId="0" borderId="9" xfId="0" applyFont="1" applyFill="1" applyBorder="1" applyAlignment="1" applyProtection="1">
      <alignment horizontal="center"/>
    </xf>
    <xf numFmtId="0" fontId="17" fillId="0" borderId="13" xfId="0" applyFont="1" applyFill="1" applyBorder="1" applyAlignment="1" applyProtection="1">
      <alignment horizontal="center"/>
    </xf>
    <xf numFmtId="0" fontId="17"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7"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8" fillId="3" borderId="2" xfId="0" applyNumberFormat="1" applyFont="1" applyFill="1" applyBorder="1" applyProtection="1"/>
    <xf numFmtId="164" fontId="2" fillId="3" borderId="25" xfId="0" applyNumberFormat="1" applyFont="1" applyFill="1" applyBorder="1" applyProtection="1"/>
    <xf numFmtId="164" fontId="18"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7" applyFont="1" applyFill="1" applyBorder="1" applyAlignment="1" applyProtection="1">
      <alignment horizontal="center" vertical="center" wrapText="1"/>
    </xf>
    <xf numFmtId="164" fontId="18" fillId="3" borderId="17" xfId="0" applyNumberFormat="1" applyFont="1" applyFill="1" applyBorder="1" applyProtection="1"/>
    <xf numFmtId="164" fontId="18" fillId="3" borderId="26" xfId="0" applyNumberFormat="1" applyFont="1" applyFill="1" applyBorder="1" applyProtection="1"/>
    <xf numFmtId="0" fontId="18" fillId="0" borderId="27" xfId="0" applyFont="1" applyBorder="1" applyAlignment="1" applyProtection="1"/>
    <xf numFmtId="9" fontId="2" fillId="0" borderId="27" xfId="7" applyFont="1" applyFill="1" applyBorder="1" applyAlignment="1" applyProtection="1">
      <alignment horizontal="center" vertical="center" wrapText="1"/>
    </xf>
    <xf numFmtId="164" fontId="18" fillId="3" borderId="29" xfId="0" applyNumberFormat="1" applyFont="1" applyFill="1" applyBorder="1" applyProtection="1"/>
    <xf numFmtId="164" fontId="18" fillId="3" borderId="28" xfId="0" applyNumberFormat="1" applyFont="1" applyFill="1" applyBorder="1" applyProtection="1"/>
    <xf numFmtId="0" fontId="18" fillId="0" borderId="0" xfId="0" applyFont="1"/>
    <xf numFmtId="0" fontId="4" fillId="0" borderId="0" xfId="0" applyFont="1" applyFill="1" applyBorder="1" applyAlignment="1" applyProtection="1">
      <alignment vertical="center"/>
    </xf>
    <xf numFmtId="0" fontId="21" fillId="0" borderId="0" xfId="0" applyFont="1" applyFill="1" applyProtection="1"/>
    <xf numFmtId="164" fontId="17"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8" fillId="0" borderId="25" xfId="0" applyFont="1" applyBorder="1" applyAlignment="1" applyProtection="1">
      <alignment horizontal="center" vertical="center"/>
    </xf>
    <xf numFmtId="9" fontId="2" fillId="0" borderId="1" xfId="7"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8" fillId="0" borderId="24" xfId="0" applyFont="1" applyBorder="1" applyProtection="1"/>
    <xf numFmtId="164" fontId="2" fillId="0" borderId="24" xfId="0" applyNumberFormat="1" applyFont="1" applyFill="1" applyBorder="1" applyProtection="1"/>
    <xf numFmtId="0" fontId="18" fillId="0" borderId="0" xfId="0" applyFont="1" applyBorder="1" applyProtection="1"/>
    <xf numFmtId="164" fontId="6" fillId="0" borderId="19" xfId="0" applyNumberFormat="1" applyFont="1" applyFill="1" applyBorder="1" applyAlignment="1" applyProtection="1">
      <alignment horizontal="center"/>
    </xf>
    <xf numFmtId="0" fontId="18" fillId="0" borderId="1" xfId="0" applyFont="1" applyFill="1" applyBorder="1" applyAlignment="1" applyProtection="1">
      <alignment horizontal="left" indent="1"/>
    </xf>
    <xf numFmtId="0" fontId="18" fillId="3" borderId="1" xfId="0" applyFont="1" applyFill="1" applyBorder="1" applyAlignment="1" applyProtection="1">
      <alignment horizontal="left" indent="1"/>
    </xf>
    <xf numFmtId="9" fontId="2" fillId="0" borderId="0" xfId="7" applyFont="1" applyFill="1" applyBorder="1" applyProtection="1"/>
    <xf numFmtId="9" fontId="2" fillId="0" borderId="24" xfId="7" applyFont="1" applyFill="1" applyBorder="1" applyProtection="1"/>
    <xf numFmtId="9" fontId="6" fillId="0" borderId="1" xfId="7" applyFont="1" applyFill="1" applyBorder="1" applyAlignment="1" applyProtection="1">
      <alignment horizontal="center"/>
    </xf>
    <xf numFmtId="0" fontId="2" fillId="0" borderId="18" xfId="7"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center" vertical="center" wrapText="1"/>
    </xf>
    <xf numFmtId="0" fontId="2" fillId="0" borderId="19" xfId="7" applyNumberFormat="1" applyFont="1" applyFill="1" applyBorder="1" applyAlignment="1" applyProtection="1">
      <alignment horizontal="center" vertical="center" wrapText="1"/>
    </xf>
    <xf numFmtId="0" fontId="2" fillId="0" borderId="25" xfId="7" applyNumberFormat="1" applyFont="1" applyFill="1" applyBorder="1" applyAlignment="1" applyProtection="1">
      <alignment horizontal="center" vertical="center" wrapText="1"/>
    </xf>
    <xf numFmtId="0" fontId="2" fillId="0" borderId="22" xfId="7" applyNumberFormat="1" applyFont="1" applyFill="1" applyBorder="1" applyAlignment="1" applyProtection="1">
      <alignment horizontal="center" vertical="center" wrapText="1"/>
    </xf>
    <xf numFmtId="0" fontId="2" fillId="0" borderId="27" xfId="7" applyNumberFormat="1" applyFont="1" applyFill="1" applyBorder="1" applyAlignment="1" applyProtection="1">
      <alignment horizontal="center" vertical="center" wrapText="1"/>
    </xf>
    <xf numFmtId="0" fontId="2" fillId="0" borderId="2" xfId="7"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2" fillId="0" borderId="0" xfId="1" applyFont="1" applyBorder="1" applyAlignment="1" applyProtection="1"/>
    <xf numFmtId="0" fontId="22"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8"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8" fillId="0" borderId="1" xfId="0" applyFont="1" applyBorder="1" applyAlignment="1" applyProtection="1">
      <alignment horizontal="center" vertical="center"/>
    </xf>
    <xf numFmtId="0" fontId="18" fillId="0" borderId="19" xfId="0" applyFont="1" applyBorder="1" applyAlignment="1" applyProtection="1">
      <alignment horizontal="center" vertical="center"/>
    </xf>
    <xf numFmtId="9" fontId="2" fillId="0" borderId="25" xfId="7" applyFont="1" applyFill="1" applyBorder="1" applyAlignment="1" applyProtection="1">
      <alignment horizontal="center" vertical="center" wrapText="1"/>
    </xf>
    <xf numFmtId="9" fontId="2" fillId="0" borderId="2" xfId="7"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7"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8" fillId="0" borderId="0" xfId="0" applyFont="1" applyBorder="1" applyAlignment="1" applyProtection="1">
      <alignment horizontal="center"/>
    </xf>
    <xf numFmtId="0" fontId="18"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7"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7"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2" fillId="0" borderId="0" xfId="1" applyFont="1" applyBorder="1" applyAlignment="1" applyProtection="1">
      <alignment horizontal="left"/>
    </xf>
    <xf numFmtId="0" fontId="18" fillId="0" borderId="1" xfId="0" applyFont="1" applyFill="1" applyBorder="1" applyAlignment="1" applyProtection="1">
      <alignment horizontal="center"/>
    </xf>
    <xf numFmtId="0" fontId="18"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7" fillId="0" borderId="0" xfId="0" applyFont="1" applyAlignment="1" applyProtection="1">
      <alignment vertical="center"/>
    </xf>
    <xf numFmtId="0" fontId="17" fillId="0" borderId="0" xfId="0" applyFont="1" applyAlignment="1" applyProtection="1">
      <alignment horizontal="center"/>
    </xf>
    <xf numFmtId="0" fontId="19" fillId="6" borderId="17" xfId="0" applyFont="1" applyFill="1" applyBorder="1" applyAlignment="1" applyProtection="1"/>
    <xf numFmtId="0" fontId="17" fillId="0" borderId="0" xfId="0" applyFont="1" applyProtection="1"/>
    <xf numFmtId="0" fontId="17" fillId="0" borderId="0" xfId="0" applyFont="1"/>
    <xf numFmtId="0" fontId="17" fillId="0" borderId="1" xfId="0" applyFont="1" applyBorder="1" applyAlignment="1" applyProtection="1">
      <alignment horizontal="center"/>
    </xf>
    <xf numFmtId="0" fontId="17" fillId="0" borderId="18" xfId="0" applyFont="1" applyBorder="1" applyAlignment="1" applyProtection="1">
      <alignment horizontal="left" vertical="center"/>
    </xf>
    <xf numFmtId="0" fontId="17" fillId="0" borderId="1" xfId="0" applyFont="1" applyBorder="1" applyAlignment="1" applyProtection="1">
      <alignment horizontal="left" vertical="center"/>
    </xf>
    <xf numFmtId="166" fontId="17" fillId="3" borderId="15" xfId="0" applyNumberFormat="1" applyFont="1" applyFill="1" applyBorder="1" applyAlignment="1" applyProtection="1">
      <alignment horizontal="left" vertical="center"/>
    </xf>
    <xf numFmtId="0" fontId="17" fillId="0" borderId="1" xfId="0" applyFont="1" applyBorder="1" applyAlignment="1" applyProtection="1">
      <alignment horizontal="left" vertical="center" wrapText="1"/>
    </xf>
    <xf numFmtId="0" fontId="17" fillId="3" borderId="15" xfId="0" applyFont="1" applyFill="1" applyBorder="1" applyAlignment="1" applyProtection="1">
      <alignment horizontal="left" vertical="center"/>
    </xf>
    <xf numFmtId="0" fontId="17" fillId="0" borderId="18" xfId="0" applyFont="1" applyBorder="1" applyProtection="1"/>
    <xf numFmtId="0" fontId="17" fillId="0" borderId="46" xfId="0" applyFont="1" applyBorder="1" applyProtection="1">
      <protection locked="0"/>
    </xf>
    <xf numFmtId="0" fontId="17" fillId="0" borderId="0" xfId="0" applyFont="1" applyBorder="1" applyProtection="1"/>
    <xf numFmtId="14" fontId="17" fillId="3" borderId="1"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4" xfId="0" applyFont="1" applyBorder="1" applyProtection="1"/>
    <xf numFmtId="14" fontId="17" fillId="0" borderId="24" xfId="0" applyNumberFormat="1" applyFont="1" applyFill="1" applyBorder="1" applyAlignment="1" applyProtection="1">
      <alignment horizontal="center"/>
    </xf>
    <xf numFmtId="0" fontId="17" fillId="0" borderId="24" xfId="0" applyFont="1" applyFill="1" applyBorder="1" applyProtection="1"/>
    <xf numFmtId="0" fontId="17" fillId="0" borderId="25" xfId="0" applyFont="1" applyBorder="1" applyAlignment="1" applyProtection="1">
      <alignment horizontal="center"/>
    </xf>
    <xf numFmtId="14" fontId="17" fillId="0" borderId="1" xfId="0" applyNumberFormat="1" applyFont="1" applyFill="1" applyBorder="1" applyAlignment="1" applyProtection="1">
      <alignment horizontal="center"/>
    </xf>
    <xf numFmtId="0" fontId="17" fillId="0" borderId="22" xfId="0" applyFont="1" applyBorder="1" applyAlignment="1" applyProtection="1">
      <alignment horizontal="center"/>
    </xf>
    <xf numFmtId="0" fontId="17" fillId="0" borderId="19" xfId="0" applyFont="1" applyFill="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Protection="1"/>
    <xf numFmtId="164" fontId="17" fillId="3" borderId="25" xfId="0" applyNumberFormat="1" applyFont="1" applyFill="1" applyBorder="1" applyProtection="1"/>
    <xf numFmtId="164" fontId="17" fillId="0" borderId="46" xfId="0" applyNumberFormat="1" applyFont="1" applyFill="1" applyBorder="1" applyAlignment="1" applyProtection="1">
      <protection locked="0"/>
    </xf>
    <xf numFmtId="164" fontId="17" fillId="0" borderId="46" xfId="0" applyNumberFormat="1" applyFont="1" applyFill="1" applyBorder="1" applyProtection="1">
      <protection locked="0"/>
    </xf>
    <xf numFmtId="164" fontId="17" fillId="0" borderId="48" xfId="0" applyNumberFormat="1" applyFont="1" applyFill="1" applyBorder="1" applyProtection="1">
      <protection locked="0"/>
    </xf>
    <xf numFmtId="164" fontId="17" fillId="3" borderId="7" xfId="0" applyNumberFormat="1" applyFont="1" applyFill="1" applyBorder="1" applyProtection="1"/>
    <xf numFmtId="164" fontId="17" fillId="0" borderId="46" xfId="0" applyNumberFormat="1" applyFont="1" applyBorder="1" applyProtection="1">
      <protection locked="0"/>
    </xf>
    <xf numFmtId="164" fontId="17" fillId="3" borderId="2" xfId="0" applyNumberFormat="1" applyFont="1" applyFill="1" applyBorder="1" applyProtection="1"/>
    <xf numFmtId="164" fontId="17" fillId="3" borderId="1" xfId="0" applyNumberFormat="1" applyFont="1" applyFill="1" applyBorder="1" applyProtection="1"/>
    <xf numFmtId="164" fontId="17" fillId="0" borderId="47" xfId="0" applyNumberFormat="1" applyFont="1" applyFill="1" applyBorder="1" applyProtection="1">
      <protection locked="0"/>
    </xf>
    <xf numFmtId="164" fontId="17" fillId="3" borderId="26" xfId="0" applyNumberFormat="1" applyFont="1" applyFill="1" applyBorder="1" applyProtection="1"/>
    <xf numFmtId="164" fontId="17" fillId="3" borderId="16" xfId="0" applyNumberFormat="1" applyFont="1" applyFill="1" applyBorder="1" applyProtection="1"/>
    <xf numFmtId="164" fontId="17" fillId="3" borderId="28" xfId="0" applyNumberFormat="1" applyFont="1" applyFill="1" applyBorder="1" applyProtection="1"/>
    <xf numFmtId="0" fontId="17" fillId="0" borderId="1" xfId="0" applyFont="1" applyFill="1" applyBorder="1" applyAlignment="1" applyProtection="1">
      <alignment horizontal="center"/>
    </xf>
    <xf numFmtId="164" fontId="17" fillId="3" borderId="18" xfId="0" applyNumberFormat="1" applyFont="1" applyFill="1" applyBorder="1" applyProtection="1"/>
    <xf numFmtId="164" fontId="17" fillId="0" borderId="1" xfId="0" applyNumberFormat="1" applyFont="1" applyFill="1" applyBorder="1" applyProtection="1"/>
    <xf numFmtId="10" fontId="17" fillId="3" borderId="1" xfId="7" applyNumberFormat="1" applyFont="1" applyFill="1" applyBorder="1" applyAlignment="1" applyProtection="1">
      <alignment horizontal="right"/>
    </xf>
    <xf numFmtId="0" fontId="17" fillId="0" borderId="25" xfId="0" applyFont="1" applyFill="1" applyBorder="1" applyAlignment="1" applyProtection="1">
      <alignment horizontal="center"/>
    </xf>
    <xf numFmtId="0" fontId="17" fillId="0" borderId="2" xfId="0" applyFont="1" applyFill="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center"/>
    </xf>
    <xf numFmtId="0" fontId="17" fillId="0" borderId="18" xfId="0" applyNumberFormat="1" applyFont="1" applyFill="1" applyBorder="1" applyAlignment="1" applyProtection="1">
      <alignment horizontal="center"/>
    </xf>
    <xf numFmtId="165" fontId="17" fillId="3" borderId="18" xfId="0" applyNumberFormat="1" applyFont="1" applyFill="1" applyBorder="1" applyAlignment="1" applyProtection="1">
      <alignment horizontal="center"/>
    </xf>
    <xf numFmtId="0" fontId="17" fillId="0" borderId="46" xfId="0" applyFont="1" applyFill="1" applyBorder="1" applyProtection="1">
      <protection locked="0"/>
    </xf>
    <xf numFmtId="0" fontId="17" fillId="0" borderId="46" xfId="0" applyFont="1" applyFill="1" applyBorder="1" applyAlignment="1" applyProtection="1">
      <alignment horizontal="left"/>
      <protection locked="0"/>
    </xf>
    <xf numFmtId="164" fontId="17" fillId="3" borderId="31" xfId="0" applyNumberFormat="1" applyFont="1" applyFill="1" applyBorder="1" applyProtection="1"/>
    <xf numFmtId="164" fontId="17" fillId="0" borderId="47" xfId="0" applyNumberFormat="1" applyFont="1" applyBorder="1" applyProtection="1">
      <protection locked="0"/>
    </xf>
    <xf numFmtId="164" fontId="17" fillId="0" borderId="48" xfId="0" applyNumberFormat="1" applyFont="1" applyBorder="1" applyProtection="1">
      <protection locked="0"/>
    </xf>
    <xf numFmtId="0" fontId="17" fillId="0" borderId="50" xfId="0" applyFont="1" applyBorder="1" applyProtection="1">
      <protection locked="0"/>
    </xf>
    <xf numFmtId="0" fontId="17" fillId="0" borderId="50" xfId="0" applyFont="1" applyFill="1" applyBorder="1" applyAlignment="1" applyProtection="1">
      <alignment horizontal="left"/>
      <protection locked="0"/>
    </xf>
    <xf numFmtId="164" fontId="17" fillId="0" borderId="51" xfId="0" applyNumberFormat="1" applyFont="1" applyBorder="1" applyProtection="1">
      <protection locked="0"/>
    </xf>
    <xf numFmtId="164" fontId="17" fillId="0" borderId="50" xfId="0" applyNumberFormat="1" applyFont="1" applyBorder="1" applyProtection="1">
      <protection locked="0"/>
    </xf>
    <xf numFmtId="164" fontId="17" fillId="0" borderId="52" xfId="0" applyNumberFormat="1" applyFont="1" applyBorder="1" applyProtection="1">
      <protection locked="0"/>
    </xf>
    <xf numFmtId="0" fontId="7" fillId="0" borderId="0" xfId="0" applyFont="1" applyFill="1" applyBorder="1" applyAlignment="1" applyProtection="1">
      <alignment horizontal="left"/>
    </xf>
    <xf numFmtId="0" fontId="23" fillId="0" borderId="0" xfId="0" applyFont="1" applyBorder="1" applyProtection="1"/>
    <xf numFmtId="164" fontId="17" fillId="0" borderId="49" xfId="0" applyNumberFormat="1" applyFont="1" applyFill="1" applyBorder="1" applyProtection="1">
      <protection locked="0"/>
    </xf>
    <xf numFmtId="164" fontId="17" fillId="3" borderId="19" xfId="0" applyNumberFormat="1" applyFont="1" applyFill="1" applyBorder="1" applyProtection="1"/>
    <xf numFmtId="164" fontId="17" fillId="0" borderId="53" xfId="0" applyNumberFormat="1" applyFont="1" applyFill="1" applyBorder="1" applyProtection="1">
      <protection locked="0"/>
    </xf>
    <xf numFmtId="164" fontId="17" fillId="3" borderId="17" xfId="0" applyNumberFormat="1" applyFont="1" applyFill="1" applyBorder="1" applyProtection="1"/>
    <xf numFmtId="164" fontId="17" fillId="3" borderId="15" xfId="0" applyNumberFormat="1" applyFont="1" applyFill="1" applyBorder="1" applyProtection="1"/>
    <xf numFmtId="164" fontId="17" fillId="3" borderId="29" xfId="0" applyNumberFormat="1" applyFont="1" applyFill="1" applyBorder="1" applyProtection="1"/>
    <xf numFmtId="164" fontId="17" fillId="0" borderId="54" xfId="0" applyNumberFormat="1" applyFont="1" applyFill="1" applyBorder="1" applyProtection="1">
      <protection locked="0"/>
    </xf>
    <xf numFmtId="0" fontId="17" fillId="0" borderId="0" xfId="0" applyFont="1" applyFill="1" applyBorder="1" applyAlignment="1" applyProtection="1">
      <alignment horizontal="center" wrapText="1"/>
    </xf>
    <xf numFmtId="0" fontId="17" fillId="0" borderId="24" xfId="0" applyFont="1" applyFill="1" applyBorder="1" applyAlignment="1" applyProtection="1">
      <alignment horizontal="center" wrapText="1"/>
    </xf>
    <xf numFmtId="169" fontId="17" fillId="0" borderId="0" xfId="0" applyNumberFormat="1" applyFont="1" applyFill="1" applyBorder="1" applyAlignment="1" applyProtection="1">
      <alignment horizontal="center" wrapText="1"/>
    </xf>
    <xf numFmtId="9" fontId="17" fillId="0" borderId="0" xfId="7" applyFont="1" applyFill="1" applyBorder="1" applyProtection="1"/>
    <xf numFmtId="0" fontId="17" fillId="0" borderId="1" xfId="0" applyFont="1" applyBorder="1" applyAlignment="1" applyProtection="1">
      <alignment horizontal="center" vertical="center"/>
    </xf>
    <xf numFmtId="0" fontId="17" fillId="0" borderId="1" xfId="0" applyFont="1" applyFill="1" applyBorder="1" applyAlignment="1" applyProtection="1">
      <alignment horizontal="center" wrapText="1"/>
    </xf>
    <xf numFmtId="0" fontId="17" fillId="0" borderId="0" xfId="0" applyFont="1" applyBorder="1" applyAlignment="1" applyProtection="1">
      <alignment vertical="center"/>
    </xf>
    <xf numFmtId="0" fontId="17" fillId="3" borderId="18" xfId="0" applyFont="1" applyFill="1" applyBorder="1" applyAlignment="1" applyProtection="1">
      <alignment horizontal="center"/>
    </xf>
    <xf numFmtId="0" fontId="17" fillId="0" borderId="46" xfId="0" applyFont="1" applyFill="1" applyBorder="1" applyAlignment="1" applyProtection="1">
      <alignment horizontal="center"/>
      <protection locked="0"/>
    </xf>
    <xf numFmtId="9" fontId="17" fillId="0" borderId="46" xfId="7" applyFont="1" applyFill="1" applyBorder="1" applyProtection="1">
      <protection locked="0"/>
    </xf>
    <xf numFmtId="169" fontId="17" fillId="3" borderId="2" xfId="7" applyNumberFormat="1" applyFont="1" applyFill="1" applyBorder="1" applyProtection="1"/>
    <xf numFmtId="164" fontId="17" fillId="0" borderId="47" xfId="0" applyNumberFormat="1" applyFont="1" applyFill="1" applyBorder="1" applyAlignment="1" applyProtection="1">
      <alignment wrapText="1"/>
      <protection locked="0"/>
    </xf>
    <xf numFmtId="0" fontId="17" fillId="0" borderId="0" xfId="0" applyFont="1" applyBorder="1" applyAlignment="1" applyProtection="1">
      <alignment horizontal="left"/>
    </xf>
    <xf numFmtId="14" fontId="17" fillId="0" borderId="2" xfId="0" applyNumberFormat="1" applyFont="1" applyFill="1" applyBorder="1" applyAlignment="1" applyProtection="1">
      <alignment horizontal="center"/>
    </xf>
    <xf numFmtId="0" fontId="17" fillId="0" borderId="1" xfId="0" applyFont="1" applyFill="1" applyBorder="1" applyAlignment="1" applyProtection="1">
      <alignment horizontal="center" vertical="center"/>
    </xf>
    <xf numFmtId="0" fontId="17" fillId="3" borderId="18" xfId="0" applyNumberFormat="1" applyFont="1" applyFill="1" applyBorder="1" applyAlignment="1" applyProtection="1">
      <alignment horizontal="center"/>
    </xf>
    <xf numFmtId="14" fontId="17" fillId="0" borderId="46" xfId="0" applyNumberFormat="1" applyFont="1" applyFill="1" applyBorder="1" applyProtection="1">
      <protection locked="0"/>
    </xf>
    <xf numFmtId="0" fontId="17" fillId="3" borderId="1" xfId="0" applyNumberFormat="1" applyFont="1" applyFill="1" applyBorder="1" applyAlignment="1" applyProtection="1">
      <alignment horizontal="center"/>
    </xf>
    <xf numFmtId="0" fontId="17" fillId="3" borderId="16" xfId="0" applyFont="1" applyFill="1" applyBorder="1" applyProtection="1"/>
    <xf numFmtId="14" fontId="17" fillId="3" borderId="16" xfId="0" applyNumberFormat="1" applyFont="1" applyFill="1" applyBorder="1" applyProtection="1"/>
    <xf numFmtId="0" fontId="17" fillId="3" borderId="1" xfId="0" applyFont="1" applyFill="1" applyBorder="1" applyProtection="1"/>
    <xf numFmtId="14" fontId="17" fillId="3" borderId="1" xfId="0" applyNumberFormat="1" applyFont="1" applyFill="1" applyBorder="1" applyProtection="1"/>
    <xf numFmtId="164" fontId="17" fillId="2" borderId="47" xfId="0" applyNumberFormat="1" applyFont="1" applyFill="1" applyBorder="1" applyProtection="1">
      <protection locked="0"/>
    </xf>
    <xf numFmtId="164" fontId="17" fillId="2" borderId="46" xfId="0" applyNumberFormat="1" applyFont="1" applyFill="1" applyBorder="1" applyProtection="1">
      <protection locked="0"/>
    </xf>
    <xf numFmtId="164" fontId="17" fillId="2" borderId="48" xfId="0" applyNumberFormat="1" applyFont="1" applyFill="1" applyBorder="1" applyProtection="1">
      <protection locked="0"/>
    </xf>
    <xf numFmtId="0" fontId="17" fillId="0" borderId="0" xfId="0" applyNumberFormat="1" applyFont="1" applyBorder="1" applyProtection="1"/>
    <xf numFmtId="0" fontId="17" fillId="0" borderId="1" xfId="0" applyNumberFormat="1" applyFont="1" applyBorder="1" applyAlignment="1" applyProtection="1">
      <alignment horizontal="center"/>
    </xf>
    <xf numFmtId="0" fontId="17" fillId="3" borderId="2" xfId="0" applyFont="1" applyFill="1" applyBorder="1" applyProtection="1"/>
    <xf numFmtId="0" fontId="17" fillId="0" borderId="1" xfId="0" applyFont="1" applyFill="1" applyBorder="1" applyProtection="1"/>
    <xf numFmtId="0" fontId="17" fillId="0" borderId="1" xfId="0" applyFont="1" applyBorder="1" applyProtection="1"/>
    <xf numFmtId="14" fontId="17" fillId="0" borderId="0" xfId="0" applyNumberFormat="1" applyFont="1" applyBorder="1" applyAlignment="1" applyProtection="1">
      <alignment horizontal="center"/>
    </xf>
    <xf numFmtId="14" fontId="17" fillId="0" borderId="24" xfId="0" applyNumberFormat="1" applyFont="1" applyBorder="1" applyAlignment="1" applyProtection="1">
      <alignment horizontal="center"/>
    </xf>
    <xf numFmtId="14" fontId="17" fillId="0" borderId="25" xfId="0" applyNumberFormat="1" applyFont="1" applyBorder="1" applyAlignment="1" applyProtection="1">
      <alignment horizontal="center"/>
    </xf>
    <xf numFmtId="0" fontId="17" fillId="3" borderId="1" xfId="0" applyFont="1" applyFill="1" applyBorder="1" applyAlignment="1" applyProtection="1">
      <alignment horizontal="center"/>
    </xf>
    <xf numFmtId="164" fontId="17" fillId="7" borderId="2" xfId="0" applyNumberFormat="1" applyFont="1" applyFill="1" applyBorder="1" applyProtection="1"/>
    <xf numFmtId="164" fontId="17" fillId="7" borderId="1" xfId="0" applyNumberFormat="1" applyFont="1" applyFill="1" applyBorder="1" applyProtection="1"/>
    <xf numFmtId="164" fontId="17" fillId="7" borderId="26" xfId="0" applyNumberFormat="1" applyFont="1" applyFill="1" applyBorder="1" applyProtection="1"/>
    <xf numFmtId="164" fontId="17" fillId="7" borderId="16" xfId="0" applyNumberFormat="1" applyFont="1" applyFill="1" applyBorder="1" applyProtection="1"/>
    <xf numFmtId="165" fontId="17" fillId="0" borderId="46" xfId="0" applyNumberFormat="1" applyFont="1" applyFill="1" applyBorder="1" applyAlignment="1" applyProtection="1">
      <alignment horizontal="center"/>
      <protection locked="0"/>
    </xf>
    <xf numFmtId="164" fontId="17" fillId="0" borderId="46" xfId="0" applyNumberFormat="1" applyFont="1" applyFill="1" applyBorder="1" applyAlignment="1" applyProtection="1">
      <alignment horizontal="center"/>
      <protection locked="0"/>
    </xf>
    <xf numFmtId="0" fontId="17" fillId="0" borderId="46" xfId="0" applyFont="1" applyBorder="1" applyAlignment="1" applyProtection="1">
      <alignment wrapText="1"/>
      <protection locked="0"/>
    </xf>
    <xf numFmtId="164" fontId="17" fillId="0" borderId="46"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4" xfId="0" applyNumberFormat="1" applyFont="1" applyFill="1" applyBorder="1" applyProtection="1"/>
    <xf numFmtId="164" fontId="17" fillId="0" borderId="24" xfId="0" applyNumberFormat="1" applyFont="1" applyBorder="1" applyProtection="1"/>
    <xf numFmtId="165" fontId="17" fillId="3" borderId="1" xfId="0" applyNumberFormat="1" applyFont="1" applyFill="1" applyBorder="1" applyAlignment="1" applyProtection="1">
      <alignment horizontal="center"/>
    </xf>
    <xf numFmtId="165" fontId="17" fillId="0" borderId="18" xfId="0" applyNumberFormat="1" applyFont="1" applyFill="1" applyBorder="1" applyAlignment="1" applyProtection="1">
      <alignment horizontal="center"/>
    </xf>
    <xf numFmtId="165" fontId="17" fillId="0" borderId="19"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18" fillId="8" borderId="32" xfId="0" applyFont="1" applyFill="1" applyBorder="1"/>
    <xf numFmtId="0" fontId="18" fillId="8" borderId="32" xfId="0" applyFont="1" applyFill="1" applyBorder="1" applyAlignment="1">
      <alignment wrapText="1"/>
    </xf>
    <xf numFmtId="0" fontId="18" fillId="8" borderId="33" xfId="0" applyFont="1" applyFill="1" applyBorder="1"/>
    <xf numFmtId="0" fontId="17" fillId="0" borderId="34" xfId="0" applyFont="1" applyBorder="1"/>
    <xf numFmtId="165" fontId="17" fillId="0" borderId="0" xfId="0" applyNumberFormat="1" applyFont="1" applyBorder="1"/>
    <xf numFmtId="0" fontId="17" fillId="0" borderId="0" xfId="0" applyFont="1" applyBorder="1"/>
    <xf numFmtId="16" fontId="17" fillId="0" borderId="0" xfId="0" applyNumberFormat="1" applyFont="1" applyBorder="1"/>
    <xf numFmtId="0" fontId="17" fillId="0" borderId="35" xfId="0" applyFont="1" applyBorder="1"/>
    <xf numFmtId="0" fontId="17" fillId="0" borderId="36" xfId="0" applyFont="1" applyBorder="1"/>
    <xf numFmtId="165" fontId="17" fillId="0" borderId="37" xfId="0" applyNumberFormat="1" applyFont="1" applyBorder="1"/>
    <xf numFmtId="0" fontId="17" fillId="0" borderId="37" xfId="0" applyFont="1" applyBorder="1"/>
    <xf numFmtId="0" fontId="17" fillId="0" borderId="38" xfId="0" applyFont="1" applyBorder="1"/>
    <xf numFmtId="0" fontId="17" fillId="0" borderId="0" xfId="4" applyFont="1"/>
    <xf numFmtId="0" fontId="22"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7"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7" fillId="0" borderId="35" xfId="4" applyFont="1" applyBorder="1" applyAlignment="1">
      <alignment horizontal="center"/>
    </xf>
    <xf numFmtId="0" fontId="24" fillId="0" borderId="34" xfId="4" applyFont="1" applyBorder="1" applyAlignment="1">
      <alignment vertical="center"/>
    </xf>
    <xf numFmtId="3" fontId="25" fillId="0" borderId="0" xfId="4" applyNumberFormat="1" applyFont="1" applyBorder="1" applyAlignment="1">
      <alignment horizontal="right" vertical="center"/>
    </xf>
    <xf numFmtId="172" fontId="25" fillId="0" borderId="0" xfId="4" applyNumberFormat="1" applyFont="1" applyBorder="1" applyAlignment="1">
      <alignment horizontal="right" vertical="center"/>
    </xf>
    <xf numFmtId="172" fontId="17" fillId="0" borderId="35" xfId="4" applyNumberFormat="1" applyFont="1" applyBorder="1" applyAlignment="1">
      <alignment horizontal="center"/>
    </xf>
    <xf numFmtId="0" fontId="17" fillId="0" borderId="34" xfId="4" applyFont="1" applyBorder="1" applyAlignment="1">
      <alignment vertical="center"/>
    </xf>
    <xf numFmtId="0" fontId="17" fillId="0" borderId="0" xfId="4" applyFont="1" applyBorder="1" applyAlignment="1">
      <alignment vertical="center"/>
    </xf>
    <xf numFmtId="172" fontId="17" fillId="0" borderId="0" xfId="4" applyNumberFormat="1" applyFont="1" applyBorder="1" applyAlignment="1">
      <alignment vertical="center"/>
    </xf>
    <xf numFmtId="0" fontId="25" fillId="0" borderId="34" xfId="4" applyFont="1" applyBorder="1" applyAlignment="1">
      <alignment vertical="center"/>
    </xf>
    <xf numFmtId="0" fontId="25" fillId="0" borderId="36" xfId="4" applyFont="1" applyBorder="1" applyAlignment="1">
      <alignment vertical="center"/>
    </xf>
    <xf numFmtId="3" fontId="25" fillId="0" borderId="37" xfId="4" applyNumberFormat="1" applyFont="1" applyBorder="1" applyAlignment="1">
      <alignment horizontal="right" vertical="center"/>
    </xf>
    <xf numFmtId="172" fontId="25" fillId="0" borderId="37" xfId="4" applyNumberFormat="1" applyFont="1" applyBorder="1" applyAlignment="1">
      <alignment horizontal="right" vertical="center"/>
    </xf>
    <xf numFmtId="0" fontId="26" fillId="0" borderId="39" xfId="4" applyFont="1" applyBorder="1"/>
    <xf numFmtId="3" fontId="26" fillId="0" borderId="40" xfId="4" applyNumberFormat="1" applyFont="1" applyBorder="1"/>
    <xf numFmtId="0" fontId="26" fillId="0" borderId="40" xfId="4" applyFont="1" applyBorder="1"/>
    <xf numFmtId="172" fontId="26" fillId="0" borderId="41" xfId="4" applyNumberFormat="1" applyFont="1" applyBorder="1" applyAlignment="1">
      <alignment horizontal="center"/>
    </xf>
    <xf numFmtId="0" fontId="26" fillId="0" borderId="34" xfId="4" applyFont="1" applyBorder="1"/>
    <xf numFmtId="3" fontId="26" fillId="0" borderId="0" xfId="4" applyNumberFormat="1" applyFont="1" applyBorder="1"/>
    <xf numFmtId="0" fontId="17" fillId="0" borderId="0" xfId="4" applyFont="1" applyBorder="1"/>
    <xf numFmtId="172" fontId="26" fillId="0" borderId="35" xfId="4" applyNumberFormat="1" applyFont="1" applyBorder="1" applyAlignment="1">
      <alignment horizontal="center"/>
    </xf>
    <xf numFmtId="0" fontId="26" fillId="0" borderId="36" xfId="0" applyFont="1" applyBorder="1"/>
    <xf numFmtId="3" fontId="26" fillId="0" borderId="37" xfId="4" applyNumberFormat="1" applyFont="1" applyBorder="1"/>
    <xf numFmtId="0" fontId="17" fillId="0" borderId="37" xfId="4" applyFont="1" applyBorder="1"/>
    <xf numFmtId="172" fontId="26" fillId="0" borderId="38" xfId="4" applyNumberFormat="1" applyFont="1" applyBorder="1" applyAlignment="1">
      <alignment horizontal="center"/>
    </xf>
    <xf numFmtId="3" fontId="17" fillId="0" borderId="0" xfId="4" applyNumberFormat="1" applyFont="1" applyBorder="1"/>
    <xf numFmtId="172" fontId="17" fillId="0" borderId="0" xfId="4" applyNumberFormat="1" applyFont="1" applyBorder="1" applyAlignment="1">
      <alignment horizontal="center"/>
    </xf>
    <xf numFmtId="0" fontId="26" fillId="9" borderId="0" xfId="0" applyFont="1" applyFill="1" applyAlignment="1">
      <alignment horizontal="left" vertical="center" indent="2"/>
    </xf>
    <xf numFmtId="3" fontId="26" fillId="9" borderId="0" xfId="0" applyNumberFormat="1" applyFont="1" applyFill="1" applyAlignment="1">
      <alignment horizontal="right" vertical="center"/>
    </xf>
    <xf numFmtId="3" fontId="26" fillId="0" borderId="0" xfId="0" applyNumberFormat="1" applyFont="1" applyAlignment="1">
      <alignment horizontal="right" vertical="center"/>
    </xf>
    <xf numFmtId="0" fontId="18" fillId="0" borderId="0" xfId="3" applyFont="1"/>
    <xf numFmtId="0" fontId="18" fillId="0" borderId="0" xfId="4" applyFont="1"/>
    <xf numFmtId="0" fontId="2" fillId="0" borderId="0" xfId="5" applyFont="1" applyBorder="1" applyAlignment="1"/>
    <xf numFmtId="0" fontId="17" fillId="0" borderId="0" xfId="4" applyFont="1"/>
    <xf numFmtId="0" fontId="17" fillId="0" borderId="0" xfId="0" applyFont="1" applyBorder="1"/>
    <xf numFmtId="0" fontId="17" fillId="0" borderId="0" xfId="0" applyFont="1" applyBorder="1" applyProtection="1"/>
    <xf numFmtId="0" fontId="17" fillId="0" borderId="0" xfId="0" applyFont="1"/>
    <xf numFmtId="0" fontId="17" fillId="0" borderId="0" xfId="0" applyFont="1"/>
    <xf numFmtId="0" fontId="17" fillId="0" borderId="0" xfId="0" applyFont="1"/>
    <xf numFmtId="0" fontId="17" fillId="0" borderId="0" xfId="0" applyFont="1"/>
    <xf numFmtId="164" fontId="17" fillId="0" borderId="46" xfId="0" applyNumberFormat="1" applyFont="1" applyFill="1" applyBorder="1" applyProtection="1">
      <protection locked="0"/>
    </xf>
    <xf numFmtId="0" fontId="17" fillId="0" borderId="0" xfId="0" applyFont="1" applyFill="1" applyBorder="1" applyProtection="1"/>
    <xf numFmtId="0" fontId="17" fillId="0" borderId="0" xfId="0" applyFont="1" applyFill="1" applyProtection="1"/>
    <xf numFmtId="0" fontId="17" fillId="0" borderId="0" xfId="0" applyFont="1" applyBorder="1"/>
    <xf numFmtId="0" fontId="17" fillId="0" borderId="0" xfId="0" applyFont="1"/>
    <xf numFmtId="164" fontId="17" fillId="3" borderId="4" xfId="0" applyNumberFormat="1" applyFont="1" applyFill="1" applyBorder="1" applyProtection="1"/>
    <xf numFmtId="0" fontId="17"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21"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21" fillId="0" borderId="24" xfId="0" applyFont="1" applyFill="1" applyBorder="1" applyProtection="1"/>
    <xf numFmtId="0" fontId="21"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7" fillId="0" borderId="0" xfId="0" applyFont="1"/>
    <xf numFmtId="0" fontId="17" fillId="0" borderId="0" xfId="0" applyFont="1" applyProtection="1"/>
    <xf numFmtId="0" fontId="17" fillId="0" borderId="0" xfId="0" applyFont="1" applyProtection="1"/>
    <xf numFmtId="0" fontId="17" fillId="0" borderId="0" xfId="0" applyFont="1"/>
    <xf numFmtId="0" fontId="17" fillId="0" borderId="0" xfId="0" applyFont="1"/>
    <xf numFmtId="0" fontId="17" fillId="0" borderId="0" xfId="0" applyFont="1"/>
    <xf numFmtId="0" fontId="17" fillId="0" borderId="1" xfId="0" applyFont="1" applyBorder="1" applyAlignment="1">
      <alignment vertical="center" wrapText="1"/>
    </xf>
    <xf numFmtId="0" fontId="17" fillId="0" borderId="0" xfId="0" applyFont="1"/>
    <xf numFmtId="0" fontId="17" fillId="0" borderId="1" xfId="0" applyFont="1" applyBorder="1" applyAlignment="1">
      <alignment vertical="center" wrapText="1"/>
    </xf>
    <xf numFmtId="0" fontId="21" fillId="0" borderId="0" xfId="0" applyFont="1" applyAlignment="1">
      <alignment vertical="center"/>
    </xf>
    <xf numFmtId="0" fontId="2" fillId="0" borderId="17" xfId="0" applyFont="1" applyBorder="1" applyAlignment="1" applyProtection="1">
      <alignment vertical="center"/>
    </xf>
    <xf numFmtId="0" fontId="17" fillId="0" borderId="17" xfId="0" applyFont="1" applyBorder="1" applyProtection="1"/>
    <xf numFmtId="14" fontId="17" fillId="0" borderId="55" xfId="0" applyNumberFormat="1" applyFont="1" applyBorder="1" applyAlignment="1" applyProtection="1">
      <alignment horizontal="left" vertical="center"/>
      <protection locked="0"/>
    </xf>
    <xf numFmtId="0" fontId="17" fillId="0" borderId="55" xfId="0" applyFont="1" applyBorder="1" applyAlignment="1" applyProtection="1">
      <alignment horizontal="left" vertical="center"/>
      <protection locked="0"/>
    </xf>
    <xf numFmtId="0" fontId="17" fillId="0" borderId="55" xfId="0" applyFont="1" applyBorder="1" applyProtection="1">
      <protection locked="0"/>
    </xf>
    <xf numFmtId="167" fontId="17" fillId="0" borderId="55" xfId="0" applyNumberFormat="1" applyFont="1" applyBorder="1" applyAlignment="1" applyProtection="1">
      <alignment horizontal="left" vertical="center"/>
      <protection locked="0"/>
    </xf>
    <xf numFmtId="0" fontId="19" fillId="4" borderId="20" xfId="0" applyFont="1" applyFill="1" applyBorder="1" applyAlignment="1" applyProtection="1">
      <alignment horizontal="left"/>
    </xf>
    <xf numFmtId="0" fontId="22" fillId="0" borderId="0" xfId="1" applyFont="1" applyBorder="1" applyAlignment="1" applyProtection="1">
      <alignment horizontal="left"/>
    </xf>
    <xf numFmtId="0" fontId="18" fillId="0" borderId="1" xfId="0" applyFont="1" applyBorder="1" applyAlignment="1" applyProtection="1">
      <alignment horizontal="center"/>
    </xf>
    <xf numFmtId="0" fontId="17" fillId="0" borderId="1" xfId="0" applyFont="1" applyBorder="1" applyAlignment="1" applyProtection="1">
      <alignment wrapText="1"/>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xf>
    <xf numFmtId="0" fontId="17" fillId="0" borderId="18" xfId="0" applyFont="1" applyBorder="1" applyAlignment="1" applyProtection="1">
      <alignment horizontal="center"/>
    </xf>
    <xf numFmtId="0" fontId="17" fillId="0" borderId="18" xfId="0" applyFont="1" applyBorder="1" applyAlignment="1" applyProtection="1">
      <alignment horizontal="center"/>
    </xf>
    <xf numFmtId="0" fontId="17" fillId="0" borderId="0" xfId="0" applyFont="1" applyProtection="1"/>
    <xf numFmtId="0" fontId="17" fillId="0" borderId="0" xfId="0" applyFont="1" applyProtection="1"/>
    <xf numFmtId="0" fontId="17" fillId="0" borderId="0" xfId="0" applyFont="1" applyProtection="1"/>
    <xf numFmtId="0" fontId="17" fillId="0" borderId="1" xfId="0" applyFont="1" applyBorder="1" applyAlignment="1" applyProtection="1">
      <alignment wrapText="1"/>
      <protection locked="0"/>
    </xf>
    <xf numFmtId="0" fontId="17" fillId="0" borderId="1" xfId="0" applyFont="1" applyBorder="1" applyAlignment="1" applyProtection="1">
      <alignment horizontal="center"/>
    </xf>
    <xf numFmtId="0" fontId="17" fillId="0" borderId="46" xfId="0" applyFont="1" applyFill="1" applyBorder="1" applyAlignment="1" applyProtection="1">
      <protection locked="0"/>
    </xf>
    <xf numFmtId="0" fontId="17" fillId="0" borderId="46" xfId="0" applyFont="1" applyFill="1" applyBorder="1" applyAlignment="1" applyProtection="1">
      <protection locked="0"/>
    </xf>
    <xf numFmtId="164" fontId="17" fillId="0" borderId="56" xfId="0" applyNumberFormat="1" applyFont="1" applyFill="1" applyBorder="1" applyProtection="1"/>
    <xf numFmtId="0" fontId="17" fillId="0" borderId="0" xfId="0" applyFont="1" applyBorder="1"/>
    <xf numFmtId="0" fontId="18" fillId="0" borderId="14" xfId="0" applyFont="1" applyFill="1" applyBorder="1" applyProtection="1"/>
    <xf numFmtId="0" fontId="17" fillId="0" borderId="42" xfId="0" applyFont="1" applyFill="1" applyBorder="1" applyProtection="1"/>
    <xf numFmtId="164" fontId="17" fillId="0" borderId="43" xfId="0" applyNumberFormat="1" applyFont="1" applyFill="1" applyBorder="1" applyProtection="1"/>
    <xf numFmtId="164" fontId="17" fillId="3" borderId="43" xfId="0" applyNumberFormat="1" applyFont="1" applyFill="1" applyBorder="1" applyProtection="1"/>
    <xf numFmtId="0" fontId="12" fillId="0" borderId="57" xfId="6" applyFont="1" applyFill="1" applyBorder="1" applyAlignment="1" applyProtection="1">
      <alignment horizontal="left" wrapText="1"/>
      <protection locked="0"/>
    </xf>
    <xf numFmtId="168" fontId="17" fillId="0" borderId="55" xfId="0" applyNumberFormat="1" applyFont="1" applyBorder="1" applyAlignment="1" applyProtection="1">
      <alignment horizontal="left" vertical="center"/>
      <protection locked="0"/>
    </xf>
    <xf numFmtId="0" fontId="17" fillId="0" borderId="55" xfId="0" applyFont="1" applyBorder="1" applyAlignment="1" applyProtection="1">
      <alignment horizontal="left" vertical="center"/>
      <protection locked="0"/>
    </xf>
    <xf numFmtId="0" fontId="17" fillId="0" borderId="55" xfId="0" applyFont="1" applyBorder="1" applyProtection="1">
      <protection locked="0"/>
    </xf>
    <xf numFmtId="0" fontId="17" fillId="0" borderId="46" xfId="0" applyFont="1" applyFill="1" applyBorder="1" applyProtection="1">
      <protection locked="0"/>
    </xf>
    <xf numFmtId="0" fontId="17" fillId="0" borderId="46" xfId="0" applyFont="1" applyBorder="1" applyProtection="1">
      <protection locked="0"/>
    </xf>
    <xf numFmtId="0" fontId="17" fillId="0" borderId="46" xfId="0" applyFont="1" applyBorder="1" applyAlignment="1" applyProtection="1">
      <alignment wrapText="1"/>
      <protection locked="0"/>
    </xf>
    <xf numFmtId="0" fontId="17" fillId="0" borderId="19"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9" fillId="4" borderId="20" xfId="0" applyFont="1" applyFill="1" applyBorder="1" applyAlignment="1" applyProtection="1">
      <alignment horizontal="left"/>
    </xf>
    <xf numFmtId="0" fontId="19"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2" fillId="0" borderId="0" xfId="1" applyFont="1" applyBorder="1" applyAlignment="1" applyProtection="1">
      <alignment horizontal="left"/>
    </xf>
    <xf numFmtId="0" fontId="4" fillId="0" borderId="0" xfId="0" applyFont="1" applyBorder="1" applyAlignment="1" applyProtection="1">
      <alignment horizontal="left" vertical="center"/>
    </xf>
    <xf numFmtId="0" fontId="18" fillId="0" borderId="2" xfId="0" applyFont="1" applyFill="1" applyBorder="1" applyAlignment="1" applyProtection="1">
      <alignment horizontal="center"/>
    </xf>
    <xf numFmtId="0" fontId="18" fillId="0" borderId="1" xfId="0" applyFont="1" applyFill="1" applyBorder="1" applyAlignment="1" applyProtection="1">
      <alignment horizontal="center"/>
    </xf>
    <xf numFmtId="0" fontId="18" fillId="0" borderId="25" xfId="0" applyFont="1" applyFill="1" applyBorder="1" applyAlignment="1" applyProtection="1">
      <alignment horizontal="center"/>
    </xf>
    <xf numFmtId="0" fontId="18" fillId="0" borderId="2" xfId="0" applyFont="1" applyBorder="1" applyAlignment="1" applyProtection="1">
      <alignment horizontal="center"/>
    </xf>
    <xf numFmtId="0" fontId="18"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8" fillId="0" borderId="1" xfId="0" applyNumberFormat="1" applyFont="1" applyFill="1" applyBorder="1" applyAlignment="1" applyProtection="1">
      <alignment horizontal="left"/>
    </xf>
    <xf numFmtId="164" fontId="18" fillId="0" borderId="18" xfId="0" applyNumberFormat="1" applyFont="1" applyFill="1" applyBorder="1" applyAlignment="1" applyProtection="1">
      <alignment horizontal="left"/>
    </xf>
    <xf numFmtId="164" fontId="18" fillId="0" borderId="1" xfId="0" applyNumberFormat="1" applyFont="1" applyFill="1" applyBorder="1" applyAlignment="1" applyProtection="1">
      <alignment horizontal="left" wrapText="1"/>
    </xf>
    <xf numFmtId="164" fontId="18" fillId="0" borderId="18" xfId="0" applyNumberFormat="1" applyFont="1" applyFill="1" applyBorder="1" applyAlignment="1" applyProtection="1">
      <alignment horizontal="left" wrapText="1"/>
    </xf>
    <xf numFmtId="164" fontId="18" fillId="3" borderId="1" xfId="0" applyNumberFormat="1" applyFont="1" applyFill="1" applyBorder="1" applyAlignment="1" applyProtection="1">
      <alignment horizontal="left"/>
    </xf>
    <xf numFmtId="164" fontId="18" fillId="3" borderId="18" xfId="0" applyNumberFormat="1" applyFont="1" applyFill="1" applyBorder="1" applyAlignment="1" applyProtection="1">
      <alignment horizontal="left"/>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7"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8" fillId="0" borderId="1" xfId="0" applyFont="1" applyBorder="1" applyAlignment="1" applyProtection="1">
      <alignment horizontal="center" wrapText="1"/>
    </xf>
    <xf numFmtId="0" fontId="18"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8" fillId="0" borderId="19" xfId="0" applyFont="1" applyBorder="1" applyAlignment="1" applyProtection="1">
      <alignment horizontal="center"/>
    </xf>
    <xf numFmtId="14" fontId="18" fillId="0" borderId="7" xfId="0" applyNumberFormat="1" applyFont="1" applyFill="1" applyBorder="1" applyAlignment="1" applyProtection="1">
      <alignment horizontal="center"/>
    </xf>
    <xf numFmtId="14" fontId="18" fillId="0" borderId="2" xfId="0" applyNumberFormat="1" applyFont="1" applyFill="1" applyBorder="1" applyAlignment="1" applyProtection="1">
      <alignment horizontal="center"/>
    </xf>
    <xf numFmtId="0" fontId="18" fillId="0" borderId="7" xfId="0" applyFont="1" applyBorder="1" applyAlignment="1" applyProtection="1">
      <alignment horizontal="center"/>
    </xf>
    <xf numFmtId="0" fontId="18" fillId="0" borderId="31" xfId="0" applyFont="1" applyBorder="1" applyAlignment="1" applyProtection="1">
      <alignment horizontal="center"/>
    </xf>
    <xf numFmtId="0" fontId="2" fillId="0" borderId="1"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25" xfId="0" applyFont="1" applyBorder="1" applyAlignment="1" applyProtection="1">
      <alignment horizontal="center"/>
    </xf>
    <xf numFmtId="0" fontId="17" fillId="0" borderId="2" xfId="0" applyFont="1" applyBorder="1" applyAlignment="1" applyProtection="1">
      <alignment horizontal="center"/>
    </xf>
    <xf numFmtId="0" fontId="17"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8" fillId="0" borderId="22" xfId="0" applyFont="1" applyBorder="1" applyAlignment="1" applyProtection="1">
      <alignment horizontal="center"/>
    </xf>
    <xf numFmtId="0" fontId="18" fillId="0" borderId="27" xfId="0" applyFont="1" applyBorder="1" applyAlignment="1" applyProtection="1">
      <alignment horizontal="center"/>
    </xf>
    <xf numFmtId="0" fontId="18" fillId="8" borderId="45" xfId="0" applyFont="1" applyFill="1" applyBorder="1" applyAlignment="1">
      <alignment horizontal="center"/>
    </xf>
    <xf numFmtId="0" fontId="18"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Normal_AUTOCR00"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D6E81A0D-7B3B-46BE-9BFE-F8E4C4F63A7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15"/>
  </cols>
  <sheetData>
    <row r="1" spans="1:6" ht="15.75" x14ac:dyDescent="0.25">
      <c r="A1" s="136" t="s">
        <v>415</v>
      </c>
    </row>
    <row r="2" spans="1:6" x14ac:dyDescent="0.2">
      <c r="A2" s="418" t="s">
        <v>419</v>
      </c>
    </row>
    <row r="3" spans="1:6" x14ac:dyDescent="0.2">
      <c r="A3" s="415" t="s">
        <v>416</v>
      </c>
    </row>
    <row r="16" spans="1:6" x14ac:dyDescent="0.2">
      <c r="F16" s="420"/>
    </row>
    <row r="26" spans="5:6" x14ac:dyDescent="0.2">
      <c r="E26" s="422"/>
    </row>
    <row r="28" spans="5:6" x14ac:dyDescent="0.2">
      <c r="F28" s="419"/>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topLeftCell="A6" zoomScaleNormal="100" zoomScaleSheetLayoutView="100" workbookViewId="0">
      <selection activeCell="C12" sqref="C12"/>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24" t="s">
        <v>426</v>
      </c>
    </row>
    <row r="4" spans="1:7" ht="11.25" customHeight="1" x14ac:dyDescent="0.25">
      <c r="B4" s="136"/>
    </row>
    <row r="5" spans="1:7" ht="39.950000000000003" customHeight="1" x14ac:dyDescent="0.2">
      <c r="B5" s="462" t="s">
        <v>405</v>
      </c>
      <c r="C5" s="462"/>
      <c r="F5" s="397"/>
    </row>
    <row r="6" spans="1:7" ht="55.5" customHeight="1" x14ac:dyDescent="0.2">
      <c r="B6" s="463" t="s">
        <v>423</v>
      </c>
      <c r="C6" s="463"/>
      <c r="F6" s="395"/>
      <c r="G6" s="397"/>
    </row>
    <row r="7" spans="1:7" ht="39.950000000000003" customHeight="1" x14ac:dyDescent="0.2">
      <c r="B7" s="463" t="s">
        <v>407</v>
      </c>
      <c r="C7" s="463"/>
      <c r="E7" s="395"/>
      <c r="F7" s="396"/>
    </row>
    <row r="8" spans="1:7" ht="39.950000000000003" customHeight="1" x14ac:dyDescent="0.2">
      <c r="B8" s="463" t="s">
        <v>406</v>
      </c>
      <c r="C8" s="463"/>
      <c r="D8" s="394"/>
    </row>
    <row r="9" spans="1:7" x14ac:dyDescent="0.2"/>
    <row r="10" spans="1:7" ht="29.25" customHeight="1" x14ac:dyDescent="0.2">
      <c r="B10" s="462" t="s">
        <v>410</v>
      </c>
      <c r="C10" s="462" t="s">
        <v>418</v>
      </c>
    </row>
    <row r="11" spans="1:7" ht="18" customHeight="1" x14ac:dyDescent="0.2">
      <c r="B11" s="462"/>
      <c r="C11" s="462"/>
    </row>
    <row r="12" spans="1:7" ht="60.75" customHeight="1" x14ac:dyDescent="0.2">
      <c r="B12" s="459" t="s">
        <v>411</v>
      </c>
      <c r="C12" s="421" t="s">
        <v>421</v>
      </c>
    </row>
    <row r="13" spans="1:7" ht="42" customHeight="1" x14ac:dyDescent="0.2">
      <c r="B13" s="460"/>
      <c r="C13" s="203" t="s">
        <v>409</v>
      </c>
    </row>
    <row r="14" spans="1:7" ht="53.25" customHeight="1" x14ac:dyDescent="0.2">
      <c r="B14" s="461"/>
      <c r="C14" s="421" t="s">
        <v>422</v>
      </c>
    </row>
    <row r="15" spans="1:7" ht="54" customHeight="1" x14ac:dyDescent="0.2">
      <c r="B15" s="423" t="s">
        <v>412</v>
      </c>
      <c r="C15" s="203" t="s">
        <v>408</v>
      </c>
    </row>
    <row r="16" spans="1:7" ht="50.25" customHeight="1" x14ac:dyDescent="0.2">
      <c r="B16" s="203" t="s">
        <v>413</v>
      </c>
      <c r="C16" s="203" t="s">
        <v>414</v>
      </c>
    </row>
    <row r="17" spans="2:2" hidden="1" x14ac:dyDescent="0.2">
      <c r="B17" s="415"/>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15" sqref="D1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405" t="s">
        <v>375</v>
      </c>
      <c r="C1" s="1"/>
      <c r="D1" s="425"/>
    </row>
    <row r="2" spans="1:4" ht="18" x14ac:dyDescent="0.2">
      <c r="A2" s="216"/>
      <c r="B2" s="405" t="s">
        <v>0</v>
      </c>
      <c r="C2" s="1"/>
      <c r="D2" s="425"/>
    </row>
    <row r="3" spans="1:4" ht="18" x14ac:dyDescent="0.2">
      <c r="A3" s="216"/>
      <c r="B3" s="405" t="s">
        <v>344</v>
      </c>
      <c r="C3" s="1"/>
      <c r="D3" s="425"/>
    </row>
    <row r="4" spans="1:4" x14ac:dyDescent="0.2">
      <c r="A4" s="216"/>
      <c r="B4" s="216"/>
      <c r="C4" s="216"/>
      <c r="D4" s="426"/>
    </row>
    <row r="5" spans="1:4" ht="34.5" customHeight="1" x14ac:dyDescent="0.2">
      <c r="A5" s="216"/>
      <c r="B5" s="284">
        <v>1</v>
      </c>
      <c r="C5" s="219" t="s">
        <v>3</v>
      </c>
      <c r="D5" s="427">
        <v>43202</v>
      </c>
    </row>
    <row r="6" spans="1:4" ht="34.5" customHeight="1" x14ac:dyDescent="0.2">
      <c r="A6" s="216"/>
      <c r="B6" s="284">
        <v>2</v>
      </c>
      <c r="C6" s="219" t="s">
        <v>2</v>
      </c>
      <c r="D6" s="428" t="s">
        <v>79</v>
      </c>
    </row>
    <row r="7" spans="1:4" ht="34.5" customHeight="1" x14ac:dyDescent="0.2">
      <c r="A7" s="216"/>
      <c r="B7" s="284">
        <v>3</v>
      </c>
      <c r="C7" s="220" t="s">
        <v>162</v>
      </c>
      <c r="D7" s="221">
        <f>IF(ISBLANK(D6),"",VLOOKUP(D6,Info_County_Code,2))</f>
        <v>3</v>
      </c>
    </row>
    <row r="8" spans="1:4" ht="34.5" customHeight="1" x14ac:dyDescent="0.2">
      <c r="A8" s="216"/>
      <c r="B8" s="284">
        <v>4</v>
      </c>
      <c r="C8" s="219" t="s">
        <v>163</v>
      </c>
      <c r="D8" s="452" t="s">
        <v>427</v>
      </c>
    </row>
    <row r="9" spans="1:4" ht="34.5" customHeight="1" x14ac:dyDescent="0.2">
      <c r="A9" s="216"/>
      <c r="B9" s="284">
        <v>5</v>
      </c>
      <c r="C9" s="219" t="s">
        <v>164</v>
      </c>
      <c r="D9" s="452" t="s">
        <v>429</v>
      </c>
    </row>
    <row r="10" spans="1:4" ht="34.5" customHeight="1" x14ac:dyDescent="0.2">
      <c r="A10" s="216"/>
      <c r="B10" s="284">
        <v>6</v>
      </c>
      <c r="C10" s="219" t="s">
        <v>165</v>
      </c>
      <c r="D10" s="453" t="s">
        <v>428</v>
      </c>
    </row>
    <row r="11" spans="1:4" ht="34.5" customHeight="1" x14ac:dyDescent="0.2">
      <c r="A11" s="216"/>
      <c r="B11" s="284">
        <v>7</v>
      </c>
      <c r="C11" s="222" t="s">
        <v>242</v>
      </c>
      <c r="D11" s="223" t="str">
        <f>IF(ISBLANK(D6),"",VLOOKUP(D6,County_Population,5,FALSE))</f>
        <v>No</v>
      </c>
    </row>
    <row r="12" spans="1:4" ht="34.5" customHeight="1" x14ac:dyDescent="0.2">
      <c r="A12" s="216"/>
      <c r="B12" s="284">
        <v>8</v>
      </c>
      <c r="C12" s="219" t="s">
        <v>161</v>
      </c>
      <c r="D12" s="454" t="s">
        <v>430</v>
      </c>
    </row>
    <row r="13" spans="1:4" ht="34.5" customHeight="1" x14ac:dyDescent="0.2">
      <c r="A13" s="216"/>
      <c r="B13" s="284">
        <v>9</v>
      </c>
      <c r="C13" s="224" t="s">
        <v>273</v>
      </c>
      <c r="D13" s="455" t="s">
        <v>431</v>
      </c>
    </row>
    <row r="14" spans="1:4" ht="34.5" customHeight="1" x14ac:dyDescent="0.2">
      <c r="A14" s="216"/>
      <c r="B14" s="284">
        <v>10</v>
      </c>
      <c r="C14" s="224" t="s">
        <v>298</v>
      </c>
      <c r="D14" s="429"/>
    </row>
    <row r="15" spans="1:4" ht="34.5" customHeight="1" x14ac:dyDescent="0.2">
      <c r="A15" s="216"/>
      <c r="B15" s="284">
        <v>11</v>
      </c>
      <c r="C15" s="219" t="s">
        <v>274</v>
      </c>
      <c r="D15" s="430"/>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Normal="100" zoomScaleSheetLayoutView="40" workbookViewId="0">
      <pane xSplit="3" ySplit="14" topLeftCell="H15" activePane="bottomRight" state="frozen"/>
      <selection pane="topRight" activeCell="D1" sqref="D1"/>
      <selection pane="bottomLeft" activeCell="A15" sqref="A15"/>
      <selection pane="bottomRight" activeCell="M16" sqref="M16"/>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64" t="s">
        <v>2</v>
      </c>
      <c r="C5" s="464"/>
      <c r="D5" s="53" t="str">
        <f>IF(ISBLANK('1. Information'!D6),"",'1. Information'!D6)</f>
        <v>Amador</v>
      </c>
      <c r="E5" s="3"/>
      <c r="F5" s="204" t="s">
        <v>3</v>
      </c>
      <c r="G5" s="53">
        <f>IF(ISBLANK('1. Information'!D5),"",'1. Information'!D5)</f>
        <v>43202</v>
      </c>
      <c r="H5" s="3"/>
      <c r="I5" s="400"/>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13780</v>
      </c>
      <c r="E9" s="11">
        <f>IF(AND(N33&gt;0,D9&gt;0),D9/N33,"")</f>
        <v>4.9528472765245288E-3</v>
      </c>
      <c r="F9" s="417"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8000</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1102281</v>
      </c>
      <c r="N16" s="41">
        <f>M16</f>
        <v>1102281</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v>189390</v>
      </c>
      <c r="H18" s="37">
        <v>138268</v>
      </c>
      <c r="I18" s="43"/>
      <c r="J18" s="30"/>
      <c r="K18" s="30"/>
      <c r="L18" s="20"/>
      <c r="M18" s="20"/>
      <c r="N18" s="21">
        <f t="shared" ref="N18:N26" si="0">SUM(D18:L18)</f>
        <v>327658</v>
      </c>
    </row>
    <row r="19" spans="1:14" ht="24" customHeight="1" x14ac:dyDescent="0.2">
      <c r="A19" s="97"/>
      <c r="B19" s="99">
        <v>4</v>
      </c>
      <c r="C19" s="19" t="s">
        <v>46</v>
      </c>
      <c r="D19" s="37"/>
      <c r="E19" s="37"/>
      <c r="F19" s="37"/>
      <c r="G19" s="37"/>
      <c r="H19" s="37">
        <v>188500</v>
      </c>
      <c r="I19" s="37"/>
      <c r="J19" s="37"/>
      <c r="K19" s="37">
        <v>15642</v>
      </c>
      <c r="L19" s="40"/>
      <c r="M19" s="20"/>
      <c r="N19" s="21">
        <f t="shared" si="0"/>
        <v>204142</v>
      </c>
    </row>
    <row r="20" spans="1:14" ht="24" customHeight="1" x14ac:dyDescent="0.2">
      <c r="A20" s="97"/>
      <c r="B20" s="99">
        <v>5</v>
      </c>
      <c r="C20" s="19" t="s">
        <v>47</v>
      </c>
      <c r="D20" s="37"/>
      <c r="E20" s="37"/>
      <c r="F20" s="37">
        <v>33519</v>
      </c>
      <c r="G20" s="37"/>
      <c r="H20" s="37"/>
      <c r="I20" s="37"/>
      <c r="J20" s="37"/>
      <c r="K20" s="37">
        <v>31600</v>
      </c>
      <c r="L20" s="40"/>
      <c r="M20" s="20"/>
      <c r="N20" s="21">
        <f t="shared" si="0"/>
        <v>65119</v>
      </c>
    </row>
    <row r="21" spans="1:14" ht="24" customHeight="1" x14ac:dyDescent="0.2">
      <c r="A21" s="97"/>
      <c r="B21" s="99">
        <v>6</v>
      </c>
      <c r="C21" s="19" t="s">
        <v>48</v>
      </c>
      <c r="D21" s="37"/>
      <c r="E21" s="37"/>
      <c r="F21" s="37">
        <v>182165</v>
      </c>
      <c r="G21" s="37"/>
      <c r="H21" s="37"/>
      <c r="I21" s="37">
        <v>3974</v>
      </c>
      <c r="J21" s="37"/>
      <c r="K21" s="37">
        <v>0</v>
      </c>
      <c r="L21" s="40"/>
      <c r="M21" s="20"/>
      <c r="N21" s="21">
        <f t="shared" si="0"/>
        <v>186139</v>
      </c>
    </row>
    <row r="22" spans="1:14" ht="24" customHeight="1" x14ac:dyDescent="0.2">
      <c r="A22" s="97"/>
      <c r="B22" s="99">
        <v>7</v>
      </c>
      <c r="C22" s="19" t="s">
        <v>49</v>
      </c>
      <c r="D22" s="37"/>
      <c r="E22" s="37"/>
      <c r="F22" s="37">
        <v>22005</v>
      </c>
      <c r="G22" s="37">
        <v>1352</v>
      </c>
      <c r="H22" s="37">
        <v>3031</v>
      </c>
      <c r="I22" s="37"/>
      <c r="J22" s="37"/>
      <c r="K22" s="37">
        <v>30014</v>
      </c>
      <c r="L22" s="40"/>
      <c r="M22" s="20"/>
      <c r="N22" s="21">
        <f t="shared" si="0"/>
        <v>56402</v>
      </c>
    </row>
    <row r="23" spans="1:14" ht="24" customHeight="1" x14ac:dyDescent="0.2">
      <c r="A23" s="97"/>
      <c r="B23" s="99">
        <v>8</v>
      </c>
      <c r="C23" s="19" t="s">
        <v>50</v>
      </c>
      <c r="D23" s="37"/>
      <c r="E23" s="37"/>
      <c r="F23" s="37">
        <v>130498</v>
      </c>
      <c r="G23" s="37"/>
      <c r="H23" s="37"/>
      <c r="I23" s="44"/>
      <c r="J23" s="37"/>
      <c r="K23" s="45"/>
      <c r="L23" s="20"/>
      <c r="M23" s="20"/>
      <c r="N23" s="21">
        <f t="shared" si="0"/>
        <v>130498</v>
      </c>
    </row>
    <row r="24" spans="1:14" ht="24" customHeight="1" x14ac:dyDescent="0.2">
      <c r="A24" s="97"/>
      <c r="B24" s="99">
        <v>9</v>
      </c>
      <c r="C24" s="19" t="s">
        <v>51</v>
      </c>
      <c r="D24" s="37"/>
      <c r="E24" s="37"/>
      <c r="F24" s="37">
        <v>101445</v>
      </c>
      <c r="G24" s="37"/>
      <c r="H24" s="37"/>
      <c r="I24" s="39"/>
      <c r="J24" s="37"/>
      <c r="K24" s="40"/>
      <c r="L24" s="30"/>
      <c r="M24" s="20"/>
      <c r="N24" s="21">
        <f t="shared" si="0"/>
        <v>101445</v>
      </c>
    </row>
    <row r="25" spans="1:14" ht="24" customHeight="1" x14ac:dyDescent="0.2">
      <c r="A25" s="97"/>
      <c r="B25" s="99">
        <v>10</v>
      </c>
      <c r="C25" s="19" t="s">
        <v>52</v>
      </c>
      <c r="D25" s="37">
        <v>1272239</v>
      </c>
      <c r="E25" s="37">
        <v>318524</v>
      </c>
      <c r="F25" s="37">
        <v>142000</v>
      </c>
      <c r="G25" s="37"/>
      <c r="H25" s="37"/>
      <c r="I25" s="39"/>
      <c r="J25" s="37"/>
      <c r="K25" s="39"/>
      <c r="L25" s="37"/>
      <c r="M25" s="40"/>
      <c r="N25" s="21">
        <f t="shared" si="0"/>
        <v>1732763</v>
      </c>
    </row>
    <row r="26" spans="1:14" ht="24" customHeight="1" x14ac:dyDescent="0.2">
      <c r="A26" s="97"/>
      <c r="B26" s="99">
        <v>11</v>
      </c>
      <c r="C26" s="19" t="s">
        <v>53</v>
      </c>
      <c r="D26" s="181">
        <v>1899767</v>
      </c>
      <c r="E26" s="181">
        <v>474942</v>
      </c>
      <c r="F26" s="181">
        <v>124985</v>
      </c>
      <c r="G26" s="181"/>
      <c r="H26" s="181"/>
      <c r="I26" s="139"/>
      <c r="J26" s="181"/>
      <c r="K26" s="139"/>
      <c r="L26" s="181">
        <v>518772</v>
      </c>
      <c r="M26" s="43"/>
      <c r="N26" s="21">
        <f t="shared" si="0"/>
        <v>3018466</v>
      </c>
    </row>
    <row r="27" spans="1:14" ht="24" customHeight="1" x14ac:dyDescent="0.2">
      <c r="A27" s="97"/>
      <c r="B27" s="100">
        <v>12</v>
      </c>
      <c r="C27" s="22" t="s">
        <v>54</v>
      </c>
      <c r="D27" s="37">
        <f>6603+(0.76*14706)</f>
        <v>17779.559999999998</v>
      </c>
      <c r="E27" s="37">
        <f>1122+(0.19*14706)</f>
        <v>3916.14</v>
      </c>
      <c r="F27" s="37">
        <f>2057+(0.05*14706)</f>
        <v>2792.3</v>
      </c>
      <c r="G27" s="37">
        <f>909</f>
        <v>909</v>
      </c>
      <c r="H27" s="37">
        <f>2011</f>
        <v>2011</v>
      </c>
      <c r="I27" s="37"/>
      <c r="J27" s="37"/>
      <c r="K27" s="37">
        <f>1278</f>
        <v>1278</v>
      </c>
      <c r="L27" s="37"/>
      <c r="M27" s="37"/>
      <c r="N27" s="47">
        <f>SUM(D27:M27)</f>
        <v>28685.999999999996</v>
      </c>
    </row>
    <row r="28" spans="1:14" ht="24" customHeight="1" x14ac:dyDescent="0.25">
      <c r="A28" s="97"/>
      <c r="B28" s="101">
        <v>13</v>
      </c>
      <c r="C28" s="24" t="s">
        <v>55</v>
      </c>
      <c r="D28" s="49">
        <f t="shared" ref="D28:M28" si="1">SUM(D16:D27)</f>
        <v>3189785.56</v>
      </c>
      <c r="E28" s="49">
        <f t="shared" si="1"/>
        <v>797382.14</v>
      </c>
      <c r="F28" s="49">
        <f t="shared" si="1"/>
        <v>739409.3</v>
      </c>
      <c r="G28" s="49">
        <f t="shared" si="1"/>
        <v>191651</v>
      </c>
      <c r="H28" s="49">
        <f t="shared" si="1"/>
        <v>331810</v>
      </c>
      <c r="I28" s="49">
        <f t="shared" si="1"/>
        <v>3974</v>
      </c>
      <c r="J28" s="49">
        <f t="shared" si="1"/>
        <v>0</v>
      </c>
      <c r="K28" s="49">
        <f t="shared" si="1"/>
        <v>78534</v>
      </c>
      <c r="L28" s="49">
        <f t="shared" si="1"/>
        <v>518772</v>
      </c>
      <c r="M28" s="49">
        <f t="shared" si="1"/>
        <v>1102281</v>
      </c>
      <c r="N28" s="10">
        <f>SUM(D28:M28)</f>
        <v>6953599</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46">
        <f>(-D30-E30)</f>
        <v>0</v>
      </c>
      <c r="N30" s="41">
        <f>SUM(D30:M30)</f>
        <v>0</v>
      </c>
    </row>
    <row r="31" spans="1:14" ht="24" customHeight="1" x14ac:dyDescent="0.2">
      <c r="A31" s="97"/>
      <c r="B31" s="99">
        <v>2</v>
      </c>
      <c r="C31" s="19" t="s">
        <v>57</v>
      </c>
      <c r="D31" s="37">
        <f>2760691.7*0.76</f>
        <v>2098125.6920000003</v>
      </c>
      <c r="E31" s="37">
        <f>2760691.7*0.19</f>
        <v>524531.42300000007</v>
      </c>
      <c r="F31" s="37">
        <f>2760691.7*0.05</f>
        <v>138034.58500000002</v>
      </c>
      <c r="G31" s="40"/>
      <c r="H31" s="20"/>
      <c r="I31" s="38"/>
      <c r="J31" s="37"/>
      <c r="K31" s="39"/>
      <c r="L31" s="37"/>
      <c r="M31" s="50"/>
      <c r="N31" s="21">
        <f>SUM(D31:M31)</f>
        <v>2760691.7</v>
      </c>
    </row>
    <row r="32" spans="1:14" ht="24" customHeight="1" x14ac:dyDescent="0.2">
      <c r="A32" s="97"/>
      <c r="B32" s="100">
        <v>3</v>
      </c>
      <c r="C32" s="22" t="s">
        <v>58</v>
      </c>
      <c r="D32" s="37">
        <f>16112.83*0.76</f>
        <v>12245.7508</v>
      </c>
      <c r="E32" s="37">
        <f>16112.83*0.19</f>
        <v>3061.4376999999999</v>
      </c>
      <c r="F32" s="37">
        <f>16112.83*0.05</f>
        <v>805.64150000000006</v>
      </c>
      <c r="G32" s="37"/>
      <c r="H32" s="37"/>
      <c r="I32" s="37"/>
      <c r="J32" s="37"/>
      <c r="K32" s="37"/>
      <c r="L32" s="37"/>
      <c r="M32" s="37">
        <v>5433.49</v>
      </c>
      <c r="N32" s="47">
        <f>SUM(D32:M32)</f>
        <v>21546.32</v>
      </c>
    </row>
    <row r="33" spans="1:14" ht="24" customHeight="1" x14ac:dyDescent="0.25">
      <c r="A33" s="97"/>
      <c r="B33" s="101">
        <v>4</v>
      </c>
      <c r="C33" s="24" t="s">
        <v>55</v>
      </c>
      <c r="D33" s="49">
        <f>SUM(D30:D32)</f>
        <v>2110371.4428000003</v>
      </c>
      <c r="E33" s="49">
        <f t="shared" ref="E33:M33" si="2">SUM(E30:E32)</f>
        <v>527592.86070000008</v>
      </c>
      <c r="F33" s="49">
        <f t="shared" si="2"/>
        <v>138840.22650000002</v>
      </c>
      <c r="G33" s="49">
        <f t="shared" si="2"/>
        <v>0</v>
      </c>
      <c r="H33" s="49">
        <f t="shared" si="2"/>
        <v>0</v>
      </c>
      <c r="I33" s="49">
        <f t="shared" si="2"/>
        <v>0</v>
      </c>
      <c r="J33" s="49">
        <f t="shared" si="2"/>
        <v>0</v>
      </c>
      <c r="K33" s="49">
        <f t="shared" si="2"/>
        <v>0</v>
      </c>
      <c r="L33" s="49">
        <f t="shared" si="2"/>
        <v>0</v>
      </c>
      <c r="M33" s="49">
        <f t="shared" si="2"/>
        <v>5433.49</v>
      </c>
      <c r="N33" s="10">
        <f>SUM(D33:M33)</f>
        <v>2782238.0200000005</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32546</v>
      </c>
      <c r="H37" s="21">
        <f>'7. CFTN'!V21</f>
        <v>104544</v>
      </c>
      <c r="I37" s="20"/>
      <c r="J37" s="20"/>
      <c r="K37" s="20"/>
      <c r="L37" s="20"/>
      <c r="M37" s="20"/>
      <c r="N37" s="21">
        <f t="shared" ref="N37:N45" si="3">SUM(D37:M37)</f>
        <v>137090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1352</v>
      </c>
      <c r="H41" s="21">
        <f>'7. CFTN'!R21</f>
        <v>0</v>
      </c>
      <c r="I41" s="21">
        <f>'8. TTACB, WET RP, HP'!Q14</f>
        <v>0</v>
      </c>
      <c r="J41" s="21">
        <f>'8. TTACB, WET RP, HP'!Q15</f>
        <v>0</v>
      </c>
      <c r="K41" s="21">
        <f>'4. PEI'!R17</f>
        <v>0</v>
      </c>
      <c r="L41" s="20"/>
      <c r="M41" s="20"/>
      <c r="N41" s="21">
        <f t="shared" si="3"/>
        <v>1352</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1272239</v>
      </c>
      <c r="E44" s="21">
        <f>'4. PEI'!O21</f>
        <v>423815</v>
      </c>
      <c r="F44" s="21">
        <f>'5. INN'!O20</f>
        <v>13780</v>
      </c>
      <c r="G44" s="21">
        <f>'6. WET'!O20</f>
        <v>0</v>
      </c>
      <c r="H44" s="21">
        <f>'7. CFTN'!O21</f>
        <v>0</v>
      </c>
      <c r="I44" s="20"/>
      <c r="J44" s="21">
        <f>'8. TTACB, WET RP, HP'!N15</f>
        <v>0</v>
      </c>
      <c r="K44" s="20"/>
      <c r="L44" s="21">
        <f>'8. TTACB, WET RP, HP'!N16</f>
        <v>0</v>
      </c>
      <c r="M44" s="20"/>
      <c r="N44" s="21">
        <f t="shared" si="3"/>
        <v>1709834</v>
      </c>
    </row>
    <row r="45" spans="1:14" ht="24" customHeight="1" x14ac:dyDescent="0.2">
      <c r="A45" s="97"/>
      <c r="B45" s="99">
        <v>11</v>
      </c>
      <c r="C45" s="19" t="s">
        <v>53</v>
      </c>
      <c r="D45" s="21">
        <f>SUM('3. CSS'!N14:N16,'3. CSS'!N18,'3. CSS'!N23)</f>
        <v>126216</v>
      </c>
      <c r="E45" s="21">
        <f>'4. PEI'!N21</f>
        <v>69137</v>
      </c>
      <c r="F45" s="21">
        <f>'5. INN'!N20</f>
        <v>0</v>
      </c>
      <c r="G45" s="21">
        <f>'6. WET'!N20</f>
        <v>0</v>
      </c>
      <c r="H45" s="21">
        <f>'7. CFTN'!N21</f>
        <v>0</v>
      </c>
      <c r="I45" s="20"/>
      <c r="J45" s="21">
        <f>'8. TTACB, WET RP, HP'!M15</f>
        <v>0</v>
      </c>
      <c r="K45" s="20"/>
      <c r="L45" s="21">
        <f>'8. TTACB, WET RP, HP'!M16</f>
        <v>46717</v>
      </c>
      <c r="M45" s="20"/>
      <c r="N45" s="21">
        <f t="shared" si="3"/>
        <v>242070</v>
      </c>
    </row>
    <row r="46" spans="1:14" ht="24" customHeight="1" x14ac:dyDescent="0.2">
      <c r="A46" s="97"/>
      <c r="B46" s="100">
        <v>12</v>
      </c>
      <c r="C46" s="22" t="s">
        <v>66</v>
      </c>
      <c r="D46" s="23">
        <f>SUM('3. CSS'!M14:M16,'3. CSS'!M18,'3. CSS'!M23)</f>
        <v>0</v>
      </c>
      <c r="E46" s="23">
        <f>'4. PEI'!M21</f>
        <v>0</v>
      </c>
      <c r="F46" s="23">
        <f>'5. INN'!M20</f>
        <v>0</v>
      </c>
      <c r="G46" s="23">
        <f>'6. WET'!M20</f>
        <v>0</v>
      </c>
      <c r="H46" s="23">
        <f>'7. CFTN'!M21</f>
        <v>0</v>
      </c>
      <c r="I46" s="30"/>
      <c r="J46" s="23">
        <f>'8. TTACB, WET RP, HP'!L15</f>
        <v>0</v>
      </c>
      <c r="K46" s="30"/>
      <c r="L46" s="23">
        <f>'8. TTACB, WET RP, HP'!L16</f>
        <v>0</v>
      </c>
      <c r="M46" s="30"/>
      <c r="N46" s="23">
        <f>SUM(D46:M46)</f>
        <v>0</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7"/>
      <c r="B48" s="101">
        <v>14</v>
      </c>
      <c r="C48" s="24" t="s">
        <v>301</v>
      </c>
      <c r="D48" s="10">
        <f>SUM(D36:D47)</f>
        <v>1398455</v>
      </c>
      <c r="E48" s="10">
        <f t="shared" ref="E48:L48" si="4">SUM(E36:E47)</f>
        <v>492952</v>
      </c>
      <c r="F48" s="10">
        <f t="shared" si="4"/>
        <v>13780</v>
      </c>
      <c r="G48" s="10">
        <f t="shared" si="4"/>
        <v>33898</v>
      </c>
      <c r="H48" s="10">
        <f t="shared" si="4"/>
        <v>104544</v>
      </c>
      <c r="I48" s="10">
        <f t="shared" si="4"/>
        <v>0</v>
      </c>
      <c r="J48" s="10">
        <f t="shared" si="4"/>
        <v>0</v>
      </c>
      <c r="K48" s="10">
        <f t="shared" si="4"/>
        <v>0</v>
      </c>
      <c r="L48" s="10">
        <f t="shared" si="4"/>
        <v>46717</v>
      </c>
      <c r="M48" s="32"/>
      <c r="N48" s="10">
        <f>SUM(D48:M48)</f>
        <v>2090346</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264478</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264478</v>
      </c>
    </row>
    <row r="52" spans="1:14" ht="24" customHeight="1" x14ac:dyDescent="0.2">
      <c r="A52" s="97"/>
      <c r="B52" s="99">
        <v>18</v>
      </c>
      <c r="C52" s="19" t="s">
        <v>64</v>
      </c>
      <c r="D52" s="21">
        <f>'3. CSS'!G24</f>
        <v>930517</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930517</v>
      </c>
    </row>
    <row r="53" spans="1:14" ht="24" customHeight="1" x14ac:dyDescent="0.2">
      <c r="A53" s="97"/>
      <c r="B53" s="100">
        <v>19</v>
      </c>
      <c r="C53" s="22" t="s">
        <v>33</v>
      </c>
      <c r="D53" s="23">
        <f>'3. CSS'!J24</f>
        <v>0</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0</v>
      </c>
    </row>
    <row r="54" spans="1:14" ht="24" customHeight="1" x14ac:dyDescent="0.25">
      <c r="A54" s="97"/>
      <c r="B54" s="101">
        <v>20</v>
      </c>
      <c r="C54" s="24" t="s">
        <v>300</v>
      </c>
      <c r="D54" s="10">
        <f>SUM(D50:D53)</f>
        <v>1194995</v>
      </c>
      <c r="E54" s="10">
        <f t="shared" ref="E54:L54" si="6">SUM(E50:E53)</f>
        <v>0</v>
      </c>
      <c r="F54" s="10">
        <f t="shared" si="6"/>
        <v>0</v>
      </c>
      <c r="G54" s="10">
        <f t="shared" si="6"/>
        <v>0</v>
      </c>
      <c r="H54" s="10">
        <f t="shared" si="6"/>
        <v>0</v>
      </c>
      <c r="I54" s="10">
        <f t="shared" si="6"/>
        <v>0</v>
      </c>
      <c r="J54" s="10">
        <f t="shared" si="6"/>
        <v>0</v>
      </c>
      <c r="K54" s="10">
        <f t="shared" si="6"/>
        <v>0</v>
      </c>
      <c r="L54" s="10">
        <f t="shared" si="6"/>
        <v>0</v>
      </c>
      <c r="M54" s="32"/>
      <c r="N54" s="10">
        <f t="shared" si="5"/>
        <v>1194995</v>
      </c>
    </row>
    <row r="55" spans="1:14" ht="24" customHeight="1" x14ac:dyDescent="0.25">
      <c r="A55" s="97"/>
      <c r="B55" s="98">
        <v>21</v>
      </c>
      <c r="C55" s="31" t="s">
        <v>302</v>
      </c>
      <c r="D55" s="10">
        <f>D48+D54</f>
        <v>2593450</v>
      </c>
      <c r="E55" s="10">
        <f t="shared" ref="E55:L55" si="7">E48+E54</f>
        <v>492952</v>
      </c>
      <c r="F55" s="10">
        <f t="shared" si="7"/>
        <v>13780</v>
      </c>
      <c r="G55" s="10">
        <f t="shared" si="7"/>
        <v>33898</v>
      </c>
      <c r="H55" s="10">
        <f t="shared" si="7"/>
        <v>104544</v>
      </c>
      <c r="I55" s="10">
        <f t="shared" si="7"/>
        <v>0</v>
      </c>
      <c r="J55" s="10">
        <f t="shared" si="7"/>
        <v>0</v>
      </c>
      <c r="K55" s="10">
        <f t="shared" si="7"/>
        <v>0</v>
      </c>
      <c r="L55" s="10">
        <f t="shared" si="7"/>
        <v>46717</v>
      </c>
      <c r="M55" s="32"/>
      <c r="N55" s="10">
        <f t="shared" si="5"/>
        <v>3285341</v>
      </c>
    </row>
    <row r="56" spans="1:14" ht="24" customHeight="1" x14ac:dyDescent="0.25">
      <c r="A56" s="97"/>
      <c r="B56" s="465" t="s">
        <v>380</v>
      </c>
      <c r="C56" s="466"/>
      <c r="D56" s="431"/>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403"/>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49"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48" t="s">
        <v>55</v>
      </c>
      <c r="D61" s="450">
        <f>SUM(D57:D60)</f>
        <v>0</v>
      </c>
      <c r="E61" s="451"/>
      <c r="F61" s="451"/>
      <c r="G61" s="450">
        <f>SUM(G57:G60)</f>
        <v>0</v>
      </c>
      <c r="H61" s="450">
        <f>SUM(H57:H60)</f>
        <v>0</v>
      </c>
      <c r="I61" s="32"/>
      <c r="J61" s="32"/>
      <c r="K61" s="32"/>
      <c r="L61" s="32"/>
      <c r="M61" s="450">
        <f>SUM(M57:M60)</f>
        <v>0</v>
      </c>
      <c r="N61" s="10">
        <f>SUM(D61:M61)</f>
        <v>0</v>
      </c>
    </row>
    <row r="62" spans="1:14" ht="24" customHeight="1" x14ac:dyDescent="0.25">
      <c r="A62" s="97"/>
      <c r="B62" s="465" t="s">
        <v>381</v>
      </c>
      <c r="C62" s="466"/>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-8643</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-8643</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-8643</v>
      </c>
      <c r="G76" s="10">
        <f t="shared" si="9"/>
        <v>0</v>
      </c>
      <c r="H76" s="10">
        <f t="shared" si="9"/>
        <v>0</v>
      </c>
      <c r="I76" s="10">
        <f t="shared" si="9"/>
        <v>0</v>
      </c>
      <c r="J76" s="10">
        <f t="shared" si="9"/>
        <v>0</v>
      </c>
      <c r="K76" s="10">
        <f t="shared" si="9"/>
        <v>0</v>
      </c>
      <c r="L76" s="10">
        <f t="shared" si="9"/>
        <v>0</v>
      </c>
      <c r="M76" s="10">
        <f t="shared" si="9"/>
        <v>0</v>
      </c>
      <c r="N76" s="10">
        <f t="shared" si="8"/>
        <v>-8643</v>
      </c>
    </row>
    <row r="77" spans="1:14" ht="24" customHeight="1" x14ac:dyDescent="0.25">
      <c r="A77" s="97"/>
      <c r="B77" s="465" t="s">
        <v>382</v>
      </c>
      <c r="C77" s="466"/>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1102281</v>
      </c>
      <c r="N90" s="21">
        <f>M90</f>
        <v>1102281</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156844</v>
      </c>
      <c r="H92" s="21">
        <f t="shared" ref="H92:H98" si="12">H18-H37+H65+H79</f>
        <v>33724</v>
      </c>
      <c r="I92" s="20"/>
      <c r="J92" s="20"/>
      <c r="K92" s="20"/>
      <c r="L92" s="20"/>
      <c r="M92" s="20"/>
      <c r="N92" s="21">
        <f t="shared" ref="N92:N103" si="13">SUM(D92:M92)</f>
        <v>190568</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188500</v>
      </c>
      <c r="I93" s="21">
        <f t="shared" ref="I93:K96" si="15">I19-I38+I66+I80</f>
        <v>0</v>
      </c>
      <c r="J93" s="21">
        <f t="shared" si="15"/>
        <v>0</v>
      </c>
      <c r="K93" s="21">
        <f t="shared" si="15"/>
        <v>15642</v>
      </c>
      <c r="L93" s="20"/>
      <c r="M93" s="20"/>
      <c r="N93" s="21">
        <f t="shared" si="13"/>
        <v>204142</v>
      </c>
    </row>
    <row r="94" spans="1:14" ht="24" customHeight="1" x14ac:dyDescent="0.2">
      <c r="A94" s="97"/>
      <c r="B94" s="99">
        <v>5</v>
      </c>
      <c r="C94" s="19" t="s">
        <v>47</v>
      </c>
      <c r="D94" s="21">
        <f t="shared" si="14"/>
        <v>0</v>
      </c>
      <c r="E94" s="21">
        <f t="shared" si="14"/>
        <v>0</v>
      </c>
      <c r="F94" s="21">
        <f t="shared" si="14"/>
        <v>33519</v>
      </c>
      <c r="G94" s="21">
        <f t="shared" si="11"/>
        <v>0</v>
      </c>
      <c r="H94" s="21">
        <f t="shared" si="12"/>
        <v>0</v>
      </c>
      <c r="I94" s="21">
        <f t="shared" si="15"/>
        <v>0</v>
      </c>
      <c r="J94" s="21">
        <f t="shared" si="15"/>
        <v>0</v>
      </c>
      <c r="K94" s="21">
        <f t="shared" si="15"/>
        <v>31600</v>
      </c>
      <c r="L94" s="20"/>
      <c r="M94" s="20"/>
      <c r="N94" s="21">
        <f t="shared" si="13"/>
        <v>65119</v>
      </c>
    </row>
    <row r="95" spans="1:14" ht="24" customHeight="1" x14ac:dyDescent="0.2">
      <c r="A95" s="97"/>
      <c r="B95" s="99">
        <v>6</v>
      </c>
      <c r="C95" s="19" t="s">
        <v>48</v>
      </c>
      <c r="D95" s="21">
        <f t="shared" si="14"/>
        <v>0</v>
      </c>
      <c r="E95" s="21">
        <f t="shared" si="14"/>
        <v>0</v>
      </c>
      <c r="F95" s="21">
        <f t="shared" si="14"/>
        <v>182165</v>
      </c>
      <c r="G95" s="21">
        <f t="shared" si="11"/>
        <v>0</v>
      </c>
      <c r="H95" s="21">
        <f t="shared" si="12"/>
        <v>0</v>
      </c>
      <c r="I95" s="21">
        <f t="shared" si="15"/>
        <v>3974</v>
      </c>
      <c r="J95" s="21">
        <f t="shared" si="15"/>
        <v>0</v>
      </c>
      <c r="K95" s="21">
        <f t="shared" si="15"/>
        <v>0</v>
      </c>
      <c r="L95" s="20"/>
      <c r="M95" s="20"/>
      <c r="N95" s="21">
        <f t="shared" si="13"/>
        <v>186139</v>
      </c>
    </row>
    <row r="96" spans="1:14" ht="24" customHeight="1" x14ac:dyDescent="0.2">
      <c r="A96" s="97"/>
      <c r="B96" s="99">
        <v>7</v>
      </c>
      <c r="C96" s="19" t="s">
        <v>49</v>
      </c>
      <c r="D96" s="21">
        <f t="shared" si="14"/>
        <v>0</v>
      </c>
      <c r="E96" s="21">
        <f t="shared" si="14"/>
        <v>0</v>
      </c>
      <c r="F96" s="21">
        <f t="shared" si="14"/>
        <v>22005</v>
      </c>
      <c r="G96" s="21">
        <f t="shared" si="11"/>
        <v>0</v>
      </c>
      <c r="H96" s="21">
        <f t="shared" si="12"/>
        <v>3031</v>
      </c>
      <c r="I96" s="21">
        <f t="shared" si="15"/>
        <v>0</v>
      </c>
      <c r="J96" s="21">
        <f t="shared" si="15"/>
        <v>0</v>
      </c>
      <c r="K96" s="21">
        <f t="shared" si="15"/>
        <v>30014</v>
      </c>
      <c r="L96" s="20"/>
      <c r="M96" s="20"/>
      <c r="N96" s="21">
        <f t="shared" si="13"/>
        <v>55050</v>
      </c>
    </row>
    <row r="97" spans="1:14" ht="24" customHeight="1" x14ac:dyDescent="0.2">
      <c r="A97" s="97"/>
      <c r="B97" s="99">
        <v>8</v>
      </c>
      <c r="C97" s="19" t="s">
        <v>50</v>
      </c>
      <c r="D97" s="21">
        <f t="shared" si="14"/>
        <v>0</v>
      </c>
      <c r="E97" s="21">
        <f t="shared" si="14"/>
        <v>0</v>
      </c>
      <c r="F97" s="21">
        <f t="shared" si="14"/>
        <v>130498</v>
      </c>
      <c r="G97" s="21">
        <f t="shared" si="11"/>
        <v>0</v>
      </c>
      <c r="H97" s="21">
        <f t="shared" si="12"/>
        <v>0</v>
      </c>
      <c r="I97" s="20"/>
      <c r="J97" s="21">
        <f>J23-J42+J70+J84</f>
        <v>0</v>
      </c>
      <c r="K97" s="20"/>
      <c r="L97" s="20"/>
      <c r="M97" s="20"/>
      <c r="N97" s="21">
        <f t="shared" si="13"/>
        <v>130498</v>
      </c>
    </row>
    <row r="98" spans="1:14" ht="24" customHeight="1" x14ac:dyDescent="0.2">
      <c r="A98" s="97"/>
      <c r="B98" s="99">
        <v>9</v>
      </c>
      <c r="C98" s="19" t="s">
        <v>51</v>
      </c>
      <c r="D98" s="21">
        <f t="shared" si="14"/>
        <v>0</v>
      </c>
      <c r="E98" s="21">
        <f t="shared" si="14"/>
        <v>0</v>
      </c>
      <c r="F98" s="21">
        <f t="shared" si="14"/>
        <v>101445</v>
      </c>
      <c r="G98" s="21">
        <f t="shared" si="11"/>
        <v>0</v>
      </c>
      <c r="H98" s="21">
        <f t="shared" si="12"/>
        <v>0</v>
      </c>
      <c r="I98" s="20"/>
      <c r="J98" s="21">
        <f>J24-J43+J71+J85</f>
        <v>0</v>
      </c>
      <c r="K98" s="20"/>
      <c r="L98" s="20"/>
      <c r="M98" s="20"/>
      <c r="N98" s="21">
        <f t="shared" si="13"/>
        <v>101445</v>
      </c>
    </row>
    <row r="99" spans="1:14" ht="24" customHeight="1" x14ac:dyDescent="0.2">
      <c r="A99" s="97"/>
      <c r="B99" s="99">
        <v>10</v>
      </c>
      <c r="C99" s="19" t="s">
        <v>52</v>
      </c>
      <c r="D99" s="21">
        <f>D25-D44+D57+D72+D86</f>
        <v>0</v>
      </c>
      <c r="E99" s="21">
        <f>E25-E44+E57+E72+E86</f>
        <v>-105291</v>
      </c>
      <c r="F99" s="21">
        <f>F25-F44+F57+F72+F86</f>
        <v>119577</v>
      </c>
      <c r="G99" s="21">
        <f>G25-G44+G57+G72+G86</f>
        <v>0</v>
      </c>
      <c r="H99" s="21">
        <f>H25-H44+H57+H72+H86</f>
        <v>0</v>
      </c>
      <c r="I99" s="20"/>
      <c r="J99" s="21">
        <f>J25-J44+J72+J86</f>
        <v>0</v>
      </c>
      <c r="K99" s="20"/>
      <c r="L99" s="20"/>
      <c r="M99" s="20"/>
      <c r="N99" s="21">
        <f t="shared" si="13"/>
        <v>14286</v>
      </c>
    </row>
    <row r="100" spans="1:14" ht="24" customHeight="1" x14ac:dyDescent="0.2">
      <c r="A100" s="97"/>
      <c r="B100" s="99">
        <v>11</v>
      </c>
      <c r="C100" s="19" t="s">
        <v>53</v>
      </c>
      <c r="D100" s="21">
        <f>D26-D45+D58+D73+D87</f>
        <v>1773551</v>
      </c>
      <c r="E100" s="21">
        <f>E26-E45+E58+E73+E87</f>
        <v>405805</v>
      </c>
      <c r="F100" s="21">
        <f>F26-F45+F58+F73+F87</f>
        <v>124985</v>
      </c>
      <c r="G100" s="21">
        <f>G26-G45+G58+G73+G87</f>
        <v>0</v>
      </c>
      <c r="H100" s="21">
        <f>H26-H45++H58+H73+H87</f>
        <v>0</v>
      </c>
      <c r="I100" s="20"/>
      <c r="J100" s="21">
        <f>J26-J45+J73+J87</f>
        <v>0</v>
      </c>
      <c r="K100" s="20"/>
      <c r="L100" s="21">
        <f>L26-L45+L73+L87</f>
        <v>472055</v>
      </c>
      <c r="M100" s="20"/>
      <c r="N100" s="21">
        <f t="shared" si="13"/>
        <v>2776396</v>
      </c>
    </row>
    <row r="101" spans="1:14" ht="24" customHeight="1" x14ac:dyDescent="0.2">
      <c r="A101" s="97"/>
      <c r="B101" s="99">
        <v>12</v>
      </c>
      <c r="C101" s="19" t="s">
        <v>66</v>
      </c>
      <c r="D101" s="21">
        <f>D31-D46+D59+D74</f>
        <v>2098125.6920000003</v>
      </c>
      <c r="E101" s="21">
        <f>E31-E46+E59+E74</f>
        <v>524531.42300000007</v>
      </c>
      <c r="F101" s="21">
        <f>F31-F46+F59+F74</f>
        <v>138034.58500000002</v>
      </c>
      <c r="G101" s="21">
        <f>G31-G46+G59+G74</f>
        <v>0</v>
      </c>
      <c r="H101" s="21">
        <f>H31-H46+H59+H74</f>
        <v>0</v>
      </c>
      <c r="I101" s="20"/>
      <c r="J101" s="21">
        <f>J31-J46+J74</f>
        <v>0</v>
      </c>
      <c r="K101" s="20"/>
      <c r="L101" s="21">
        <f>L31-L46+L59+L74</f>
        <v>0</v>
      </c>
      <c r="M101" s="20"/>
      <c r="N101" s="21">
        <f t="shared" si="13"/>
        <v>2760691.7</v>
      </c>
    </row>
    <row r="102" spans="1:14" ht="24" customHeight="1" x14ac:dyDescent="0.2">
      <c r="A102" s="97"/>
      <c r="B102" s="100">
        <v>13</v>
      </c>
      <c r="C102" s="22" t="s">
        <v>54</v>
      </c>
      <c r="D102" s="23">
        <f t="shared" ref="D102:L102" si="16">(D27+D32)-(D47+D75)</f>
        <v>30025.310799999999</v>
      </c>
      <c r="E102" s="23">
        <f t="shared" si="16"/>
        <v>6977.5776999999998</v>
      </c>
      <c r="F102" s="23">
        <f t="shared" si="16"/>
        <v>3597.9415000000004</v>
      </c>
      <c r="G102" s="23">
        <f t="shared" si="16"/>
        <v>909</v>
      </c>
      <c r="H102" s="23">
        <f t="shared" si="16"/>
        <v>2011</v>
      </c>
      <c r="I102" s="23">
        <f t="shared" si="16"/>
        <v>0</v>
      </c>
      <c r="J102" s="23">
        <f t="shared" si="16"/>
        <v>0</v>
      </c>
      <c r="K102" s="23">
        <f t="shared" si="16"/>
        <v>1278</v>
      </c>
      <c r="L102" s="23">
        <f t="shared" si="16"/>
        <v>0</v>
      </c>
      <c r="M102" s="21">
        <f>M27+M32+M60+M75</f>
        <v>5433.49</v>
      </c>
      <c r="N102" s="23">
        <f t="shared" si="13"/>
        <v>50232.32</v>
      </c>
    </row>
    <row r="103" spans="1:14" ht="24" customHeight="1" x14ac:dyDescent="0.25">
      <c r="A103" s="97"/>
      <c r="B103" s="101">
        <v>14</v>
      </c>
      <c r="C103" s="24" t="s">
        <v>55</v>
      </c>
      <c r="D103" s="10">
        <f>SUM(D90:D102)</f>
        <v>3901702.0028000004</v>
      </c>
      <c r="E103" s="10">
        <f t="shared" ref="E103:M103" si="17">SUM(E90:E102)</f>
        <v>832023.00070000009</v>
      </c>
      <c r="F103" s="10">
        <f t="shared" si="17"/>
        <v>855826.52649999992</v>
      </c>
      <c r="G103" s="10">
        <f>SUM(G90:G102)</f>
        <v>157753</v>
      </c>
      <c r="H103" s="10">
        <f t="shared" si="17"/>
        <v>227266</v>
      </c>
      <c r="I103" s="10">
        <f t="shared" si="17"/>
        <v>3974</v>
      </c>
      <c r="J103" s="10">
        <f t="shared" si="17"/>
        <v>0</v>
      </c>
      <c r="K103" s="10">
        <f t="shared" si="17"/>
        <v>78534</v>
      </c>
      <c r="L103" s="10">
        <f t="shared" si="17"/>
        <v>472055</v>
      </c>
      <c r="M103" s="10">
        <f t="shared" si="17"/>
        <v>1107714.49</v>
      </c>
      <c r="N103" s="10">
        <f t="shared" si="13"/>
        <v>7636848.0200000005</v>
      </c>
    </row>
    <row r="104" spans="1:14" hidden="1" x14ac:dyDescent="0.2">
      <c r="A104" s="3"/>
      <c r="B104" s="3"/>
      <c r="C104" s="3"/>
      <c r="D104" s="3"/>
      <c r="E104" s="3"/>
      <c r="F104" s="3"/>
      <c r="G104" s="3"/>
      <c r="H104" s="3"/>
      <c r="I104" s="3"/>
      <c r="J104" s="3"/>
      <c r="K104" s="3"/>
      <c r="L104" s="3"/>
      <c r="M104" s="3"/>
      <c r="N104" s="3"/>
    </row>
    <row r="107" spans="1:14" hidden="1" x14ac:dyDescent="0.2">
      <c r="I107" s="416"/>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scale="5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zoomScale="60" zoomScaleNormal="60" zoomScaleSheetLayoutView="40" zoomScalePageLayoutView="70" workbookViewId="0">
      <selection activeCell="O40" sqref="O40"/>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13" width="15.140625" style="216" customWidth="1"/>
    <col min="14" max="14" width="15.85546875" style="216" customWidth="1"/>
    <col min="15" max="15" width="15.5703125" style="216" customWidth="1"/>
    <col min="16" max="16" width="16.5703125" style="216" customWidth="1"/>
    <col min="17" max="22" width="15.140625" style="216" customWidth="1"/>
    <col min="23" max="24" width="17.7109375" style="216" hidden="1" customWidth="1"/>
    <col min="25" max="26" width="16" style="216" hidden="1" customWidth="1"/>
    <col min="27" max="16384" width="9.140625" style="216" hidden="1"/>
  </cols>
  <sheetData>
    <row r="1" spans="1:23" x14ac:dyDescent="0.2">
      <c r="A1" s="226"/>
      <c r="B1" s="473" t="s">
        <v>332</v>
      </c>
      <c r="C1" s="473"/>
      <c r="D1" s="473"/>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4" t="s">
        <v>367</v>
      </c>
      <c r="C3" s="474"/>
      <c r="D3" s="474"/>
      <c r="E3" s="474"/>
      <c r="F3" s="474"/>
      <c r="G3" s="474"/>
      <c r="H3" s="474"/>
      <c r="I3" s="474"/>
      <c r="J3" s="474"/>
      <c r="K3" s="474"/>
      <c r="L3" s="226"/>
      <c r="M3" s="226"/>
      <c r="N3" s="226"/>
      <c r="O3" s="226"/>
      <c r="P3" s="226"/>
      <c r="Q3" s="226"/>
      <c r="R3" s="226"/>
      <c r="S3" s="226"/>
      <c r="T3" s="226"/>
      <c r="U3" s="226"/>
      <c r="V3" s="226"/>
      <c r="W3" s="226"/>
    </row>
    <row r="4" spans="1:23" ht="18" x14ac:dyDescent="0.2">
      <c r="A4" s="226"/>
      <c r="B4" s="474" t="s">
        <v>0</v>
      </c>
      <c r="C4" s="474"/>
      <c r="D4" s="474"/>
      <c r="E4" s="474"/>
      <c r="F4" s="474"/>
      <c r="G4" s="474"/>
      <c r="H4" s="474"/>
      <c r="I4" s="474"/>
      <c r="J4" s="474"/>
      <c r="K4" s="474"/>
      <c r="L4" s="226"/>
      <c r="M4" s="226"/>
      <c r="N4" s="226"/>
      <c r="O4" s="226"/>
      <c r="P4" s="226"/>
      <c r="Q4" s="226"/>
      <c r="R4" s="226"/>
      <c r="S4" s="226"/>
      <c r="T4" s="226"/>
      <c r="U4" s="226"/>
      <c r="V4" s="226"/>
      <c r="W4" s="226"/>
    </row>
    <row r="5" spans="1:23" ht="18" x14ac:dyDescent="0.2">
      <c r="A5" s="226"/>
      <c r="B5" s="474" t="s">
        <v>179</v>
      </c>
      <c r="C5" s="474"/>
      <c r="D5" s="474"/>
      <c r="E5" s="474"/>
      <c r="F5" s="474"/>
      <c r="G5" s="474"/>
      <c r="H5" s="474"/>
      <c r="I5" s="474"/>
      <c r="J5" s="474"/>
      <c r="K5" s="474"/>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64" t="s">
        <v>2</v>
      </c>
      <c r="C7" s="464"/>
      <c r="D7" s="54" t="str">
        <f>IF(ISBLANK('1. Information'!D6),"",'1. Information'!D6)</f>
        <v>Amador</v>
      </c>
      <c r="E7" s="226"/>
      <c r="F7" s="204" t="s">
        <v>3</v>
      </c>
      <c r="G7" s="227">
        <f>IF(ISBLANK('1. Information'!D5),"",'1. Information'!D5)</f>
        <v>43202</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406"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69" t="s">
        <v>62</v>
      </c>
      <c r="H12" s="464"/>
      <c r="I12" s="464"/>
      <c r="J12" s="470"/>
      <c r="K12" s="469" t="s">
        <v>60</v>
      </c>
      <c r="L12" s="464"/>
      <c r="M12" s="464"/>
      <c r="N12" s="464"/>
      <c r="O12" s="464"/>
      <c r="P12" s="464"/>
      <c r="Q12" s="464"/>
      <c r="R12" s="464"/>
      <c r="S12" s="464"/>
      <c r="T12" s="464"/>
      <c r="U12" s="464"/>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7" t="s">
        <v>16</v>
      </c>
      <c r="D14" s="467"/>
      <c r="E14" s="467"/>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7" t="s">
        <v>17</v>
      </c>
      <c r="D15" s="467"/>
      <c r="E15" s="467"/>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67" t="s">
        <v>166</v>
      </c>
      <c r="D16" s="467"/>
      <c r="E16" s="467"/>
      <c r="F16" s="239">
        <f t="shared" si="0"/>
        <v>5732</v>
      </c>
      <c r="G16" s="162"/>
      <c r="H16" s="240"/>
      <c r="I16" s="241"/>
      <c r="J16" s="242"/>
      <c r="K16" s="243">
        <f t="shared" si="1"/>
        <v>5732</v>
      </c>
      <c r="L16" s="241"/>
      <c r="M16" s="244"/>
      <c r="N16" s="244">
        <v>5732</v>
      </c>
      <c r="O16" s="244"/>
      <c r="P16" s="245"/>
      <c r="Q16" s="246"/>
      <c r="R16" s="246"/>
      <c r="S16" s="246"/>
      <c r="T16" s="246"/>
      <c r="U16" s="246"/>
      <c r="V16" s="226"/>
      <c r="W16" s="226"/>
    </row>
    <row r="17" spans="1:23" ht="15.75" x14ac:dyDescent="0.25">
      <c r="A17" s="226"/>
      <c r="B17" s="218">
        <v>4</v>
      </c>
      <c r="C17" s="471" t="s">
        <v>311</v>
      </c>
      <c r="D17" s="471"/>
      <c r="E17" s="471"/>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1" t="s">
        <v>312</v>
      </c>
      <c r="D18" s="471"/>
      <c r="E18" s="471"/>
      <c r="F18" s="239">
        <f t="shared" si="0"/>
        <v>0</v>
      </c>
      <c r="G18" s="247"/>
      <c r="H18" s="398"/>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7" t="s">
        <v>307</v>
      </c>
      <c r="D19" s="467"/>
      <c r="E19" s="467"/>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80" t="s">
        <v>321</v>
      </c>
      <c r="D20" s="481"/>
      <c r="E20" s="482"/>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80" t="s">
        <v>322</v>
      </c>
      <c r="D21" s="481"/>
      <c r="E21" s="482"/>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80" t="s">
        <v>320</v>
      </c>
      <c r="D22" s="481"/>
      <c r="E22" s="482"/>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7" t="s">
        <v>193</v>
      </c>
      <c r="D23" s="467"/>
      <c r="E23" s="467"/>
      <c r="F23" s="239">
        <f t="shared" si="0"/>
        <v>2587718</v>
      </c>
      <c r="G23" s="245">
        <f>SUM($H39:$H83)</f>
        <v>930517</v>
      </c>
      <c r="H23" s="246">
        <f>SUM($I39:$I83)</f>
        <v>0</v>
      </c>
      <c r="I23" s="246">
        <f>SUM($J39:$J83)</f>
        <v>264478</v>
      </c>
      <c r="J23" s="239">
        <f>SUM(K39:K83)</f>
        <v>0</v>
      </c>
      <c r="K23" s="245">
        <f t="shared" si="1"/>
        <v>1392723</v>
      </c>
      <c r="L23" s="246">
        <f>SUM($M39:$M83)</f>
        <v>0</v>
      </c>
      <c r="M23" s="249">
        <f>SUM(N39:N83)</f>
        <v>0</v>
      </c>
      <c r="N23" s="249">
        <f>SUM(O39:O83)</f>
        <v>120484</v>
      </c>
      <c r="O23" s="249">
        <f>SUM(P39:P83)</f>
        <v>1272239</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2" t="s">
        <v>316</v>
      </c>
      <c r="D24" s="472"/>
      <c r="E24" s="472"/>
      <c r="F24" s="239">
        <f>SUM(F14:F16,F18:F23)</f>
        <v>2593450</v>
      </c>
      <c r="G24" s="107">
        <f t="shared" ref="G24:U24" si="3">SUM(G14:G16,G18:G23)</f>
        <v>930517</v>
      </c>
      <c r="H24" s="51">
        <f t="shared" si="3"/>
        <v>0</v>
      </c>
      <c r="I24" s="51">
        <f t="shared" si="3"/>
        <v>264478</v>
      </c>
      <c r="J24" s="109">
        <f t="shared" si="3"/>
        <v>0</v>
      </c>
      <c r="K24" s="108">
        <f t="shared" si="3"/>
        <v>1398455</v>
      </c>
      <c r="L24" s="51">
        <f t="shared" si="3"/>
        <v>0</v>
      </c>
      <c r="M24" s="51">
        <f t="shared" si="3"/>
        <v>0</v>
      </c>
      <c r="N24" s="51">
        <f t="shared" si="3"/>
        <v>126216</v>
      </c>
      <c r="O24" s="51">
        <f t="shared" si="3"/>
        <v>1272239</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68" t="s">
        <v>280</v>
      </c>
      <c r="D25" s="468"/>
      <c r="E25" s="468"/>
      <c r="F25" s="239"/>
      <c r="G25" s="107"/>
      <c r="H25" s="51"/>
      <c r="I25" s="51"/>
      <c r="J25" s="109"/>
      <c r="K25" s="108">
        <f>SUM(L25,M25:U25)</f>
        <v>5300157.0028000008</v>
      </c>
      <c r="L25" s="51">
        <f>'2. Component Summary'!D27+'2. Component Summary'!D32</f>
        <v>30025.310799999999</v>
      </c>
      <c r="M25" s="51">
        <f>'2. Component Summary'!D30+'2. Component Summary'!D31</f>
        <v>2098125.6920000003</v>
      </c>
      <c r="N25" s="51">
        <f>'2. Component Summary'!D26</f>
        <v>1899767</v>
      </c>
      <c r="O25" s="51">
        <f>'2. Component Summary'!D25</f>
        <v>1272239</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407"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83" t="s">
        <v>276</v>
      </c>
      <c r="D30" s="483"/>
      <c r="E30" s="484"/>
      <c r="F30" s="253">
        <f>SUMIF($F$39:$F$83,"FSP",$L$39:$L$83)</f>
        <v>556005</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5" t="s">
        <v>424</v>
      </c>
      <c r="D31" s="485"/>
      <c r="E31" s="486"/>
      <c r="F31" s="253">
        <f>SUM(K14:K16,K18,K23)</f>
        <v>1398455</v>
      </c>
      <c r="G31" s="150" t="s">
        <v>342</v>
      </c>
      <c r="H31" s="228"/>
      <c r="I31" s="399"/>
      <c r="J31" s="228"/>
      <c r="K31" s="228"/>
      <c r="L31" s="226"/>
      <c r="M31" s="226"/>
      <c r="N31" s="226"/>
      <c r="O31" s="226"/>
      <c r="P31" s="226"/>
      <c r="Q31" s="226"/>
      <c r="R31" s="226"/>
      <c r="S31" s="226"/>
      <c r="T31" s="226"/>
      <c r="U31" s="226"/>
      <c r="V31" s="226"/>
      <c r="W31" s="226"/>
    </row>
    <row r="32" spans="1:23" ht="15.75" x14ac:dyDescent="0.25">
      <c r="A32" s="226"/>
      <c r="B32" s="218">
        <v>3</v>
      </c>
      <c r="C32" s="487" t="s">
        <v>178</v>
      </c>
      <c r="D32" s="487"/>
      <c r="E32" s="488"/>
      <c r="F32" s="254">
        <f>IF($K$24=0,"-",(F30)/(F31))</f>
        <v>0.39758519222999666</v>
      </c>
      <c r="G32" s="151" t="s">
        <v>362</v>
      </c>
      <c r="H32" s="404"/>
      <c r="I32" s="399"/>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99"/>
      <c r="J33" s="228"/>
      <c r="K33" s="228"/>
      <c r="L33" s="226"/>
      <c r="M33" s="226"/>
      <c r="N33" s="226"/>
      <c r="O33" s="226"/>
      <c r="P33" s="226"/>
      <c r="Q33" s="226"/>
      <c r="R33" s="226"/>
      <c r="S33" s="226"/>
      <c r="T33" s="226"/>
      <c r="U33" s="226"/>
      <c r="V33" s="226"/>
      <c r="W33" s="226"/>
    </row>
    <row r="34" spans="1:23" ht="18.75" thickBot="1" x14ac:dyDescent="0.3">
      <c r="A34" s="226"/>
      <c r="B34" s="407"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64" t="s">
        <v>221</v>
      </c>
      <c r="D37" s="464"/>
      <c r="E37" s="464"/>
      <c r="F37" s="464"/>
      <c r="G37" s="470"/>
      <c r="H37" s="475" t="s">
        <v>62</v>
      </c>
      <c r="I37" s="476"/>
      <c r="J37" s="476"/>
      <c r="K37" s="477"/>
      <c r="L37" s="478" t="s">
        <v>60</v>
      </c>
      <c r="M37" s="479"/>
      <c r="N37" s="479"/>
      <c r="O37" s="479"/>
      <c r="P37" s="479"/>
      <c r="Q37" s="479"/>
      <c r="R37" s="479"/>
      <c r="S37" s="479"/>
      <c r="T37" s="479"/>
      <c r="U37" s="479"/>
      <c r="V37" s="479"/>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3</v>
      </c>
      <c r="D39" s="456" t="s">
        <v>137</v>
      </c>
      <c r="E39" s="261"/>
      <c r="F39" s="262" t="s">
        <v>137</v>
      </c>
      <c r="G39" s="263">
        <f>SUM(H39:K39,L39)</f>
        <v>1273002</v>
      </c>
      <c r="H39" s="264">
        <f>930517-H40</f>
        <v>558310</v>
      </c>
      <c r="I39" s="244"/>
      <c r="J39" s="244">
        <f>264478-J40</f>
        <v>158687</v>
      </c>
      <c r="K39" s="265"/>
      <c r="L39" s="243">
        <f t="shared" ref="L39:L83" si="5">SUM($N39:$V39)+$M39</f>
        <v>556005</v>
      </c>
      <c r="M39" s="244"/>
      <c r="N39" s="244"/>
      <c r="O39" s="244">
        <f>504025+51980-P39</f>
        <v>120484</v>
      </c>
      <c r="P39" s="244">
        <v>435521</v>
      </c>
      <c r="Q39" s="245"/>
      <c r="R39" s="246"/>
      <c r="S39" s="246"/>
      <c r="T39" s="246"/>
      <c r="U39" s="246"/>
      <c r="V39" s="246"/>
      <c r="W39" s="226"/>
    </row>
    <row r="40" spans="1:23" x14ac:dyDescent="0.2">
      <c r="A40" s="226"/>
      <c r="B40" s="259">
        <v>2</v>
      </c>
      <c r="C40" s="260">
        <f t="shared" si="4"/>
        <v>3</v>
      </c>
      <c r="D40" s="456" t="s">
        <v>432</v>
      </c>
      <c r="E40" s="261"/>
      <c r="F40" s="262" t="s">
        <v>138</v>
      </c>
      <c r="G40" s="263">
        <f t="shared" ref="G40:G83" si="6">SUM(H40:K40,L40)</f>
        <v>780587</v>
      </c>
      <c r="H40" s="264">
        <v>372207</v>
      </c>
      <c r="I40" s="244"/>
      <c r="J40" s="244">
        <v>105791</v>
      </c>
      <c r="K40" s="265"/>
      <c r="L40" s="243">
        <f t="shared" si="5"/>
        <v>302589</v>
      </c>
      <c r="M40" s="244"/>
      <c r="N40" s="244"/>
      <c r="O40" s="244"/>
      <c r="P40" s="244">
        <v>302589</v>
      </c>
      <c r="Q40" s="245"/>
      <c r="R40" s="246"/>
      <c r="S40" s="246"/>
      <c r="T40" s="246"/>
      <c r="U40" s="246"/>
      <c r="V40" s="246"/>
      <c r="W40" s="226"/>
    </row>
    <row r="41" spans="1:23" x14ac:dyDescent="0.2">
      <c r="A41" s="226"/>
      <c r="B41" s="259">
        <v>3</v>
      </c>
      <c r="C41" s="260">
        <f t="shared" si="4"/>
        <v>3</v>
      </c>
      <c r="D41" s="456" t="s">
        <v>433</v>
      </c>
      <c r="E41" s="261"/>
      <c r="F41" s="262" t="s">
        <v>138</v>
      </c>
      <c r="G41" s="263">
        <f t="shared" si="6"/>
        <v>37304</v>
      </c>
      <c r="H41" s="264"/>
      <c r="I41" s="244"/>
      <c r="J41" s="244"/>
      <c r="K41" s="265"/>
      <c r="L41" s="243">
        <f t="shared" si="5"/>
        <v>37304</v>
      </c>
      <c r="M41" s="244"/>
      <c r="N41" s="244"/>
      <c r="O41" s="244"/>
      <c r="P41" s="244">
        <v>37304</v>
      </c>
      <c r="Q41" s="245"/>
      <c r="R41" s="246"/>
      <c r="S41" s="246"/>
      <c r="T41" s="246"/>
      <c r="U41" s="246"/>
      <c r="V41" s="246"/>
      <c r="W41" s="226"/>
    </row>
    <row r="42" spans="1:23" x14ac:dyDescent="0.2">
      <c r="A42" s="226"/>
      <c r="B42" s="259">
        <v>4</v>
      </c>
      <c r="C42" s="260">
        <f t="shared" si="4"/>
        <v>3</v>
      </c>
      <c r="D42" s="456" t="s">
        <v>434</v>
      </c>
      <c r="E42" s="261"/>
      <c r="F42" s="262" t="s">
        <v>138</v>
      </c>
      <c r="G42" s="263">
        <f t="shared" si="6"/>
        <v>147905</v>
      </c>
      <c r="H42" s="264"/>
      <c r="I42" s="244"/>
      <c r="J42" s="244"/>
      <c r="K42" s="265"/>
      <c r="L42" s="243">
        <f t="shared" si="5"/>
        <v>147905</v>
      </c>
      <c r="M42" s="244"/>
      <c r="N42" s="244"/>
      <c r="O42" s="244"/>
      <c r="P42" s="244">
        <v>147905</v>
      </c>
      <c r="Q42" s="245"/>
      <c r="R42" s="246"/>
      <c r="S42" s="246"/>
      <c r="T42" s="246"/>
      <c r="U42" s="246"/>
      <c r="V42" s="246"/>
      <c r="W42" s="226"/>
    </row>
    <row r="43" spans="1:23" x14ac:dyDescent="0.2">
      <c r="A43" s="226"/>
      <c r="B43" s="259">
        <v>5</v>
      </c>
      <c r="C43" s="260">
        <f t="shared" si="4"/>
        <v>3</v>
      </c>
      <c r="D43" s="456" t="s">
        <v>435</v>
      </c>
      <c r="E43" s="261"/>
      <c r="F43" s="262" t="s">
        <v>138</v>
      </c>
      <c r="G43" s="263">
        <f t="shared" si="6"/>
        <v>348920</v>
      </c>
      <c r="H43" s="264"/>
      <c r="I43" s="244"/>
      <c r="J43" s="244"/>
      <c r="K43" s="265"/>
      <c r="L43" s="243">
        <f t="shared" si="5"/>
        <v>348920</v>
      </c>
      <c r="M43" s="244"/>
      <c r="N43" s="244"/>
      <c r="O43" s="244"/>
      <c r="P43" s="244">
        <v>348920</v>
      </c>
      <c r="Q43" s="245"/>
      <c r="R43" s="246"/>
      <c r="S43" s="246"/>
      <c r="T43" s="246"/>
      <c r="U43" s="246"/>
      <c r="V43" s="246"/>
      <c r="W43" s="226"/>
    </row>
    <row r="44" spans="1:23" x14ac:dyDescent="0.2">
      <c r="A44" s="226"/>
      <c r="B44" s="259">
        <v>6</v>
      </c>
      <c r="C44" s="260" t="str">
        <f t="shared" si="4"/>
        <v/>
      </c>
      <c r="D44" s="261"/>
      <c r="E44" s="261"/>
      <c r="F44" s="262"/>
      <c r="G44" s="263">
        <f t="shared" si="6"/>
        <v>0</v>
      </c>
      <c r="H44" s="264"/>
      <c r="I44" s="244"/>
      <c r="J44" s="244"/>
      <c r="K44" s="265"/>
      <c r="L44" s="243">
        <f t="shared" si="5"/>
        <v>0</v>
      </c>
      <c r="M44" s="244"/>
      <c r="N44" s="244"/>
      <c r="O44" s="244"/>
      <c r="P44" s="244"/>
      <c r="Q44" s="245"/>
      <c r="R44" s="246"/>
      <c r="S44" s="246"/>
      <c r="T44" s="246"/>
      <c r="U44" s="246"/>
      <c r="V44" s="246"/>
      <c r="W44" s="226"/>
    </row>
    <row r="45" spans="1:23" x14ac:dyDescent="0.2">
      <c r="A45" s="226"/>
      <c r="B45" s="259">
        <v>7</v>
      </c>
      <c r="C45" s="260" t="str">
        <f t="shared" si="4"/>
        <v/>
      </c>
      <c r="D45" s="241"/>
      <c r="E45" s="241"/>
      <c r="F45" s="262"/>
      <c r="G45" s="263">
        <f t="shared" si="6"/>
        <v>0</v>
      </c>
      <c r="H45" s="264"/>
      <c r="I45" s="244"/>
      <c r="J45" s="244"/>
      <c r="K45" s="265"/>
      <c r="L45" s="243">
        <f t="shared" si="5"/>
        <v>0</v>
      </c>
      <c r="M45" s="244"/>
      <c r="N45" s="244"/>
      <c r="O45" s="244"/>
      <c r="P45" s="244"/>
      <c r="Q45" s="245"/>
      <c r="R45" s="246"/>
      <c r="S45" s="246"/>
      <c r="T45" s="246"/>
      <c r="U45" s="246"/>
      <c r="V45" s="246"/>
      <c r="W45" s="226"/>
    </row>
    <row r="46" spans="1:23" x14ac:dyDescent="0.2">
      <c r="A46" s="226"/>
      <c r="B46" s="259">
        <v>8</v>
      </c>
      <c r="C46" s="260" t="str">
        <f t="shared" si="4"/>
        <v/>
      </c>
      <c r="D46" s="225"/>
      <c r="E46" s="225"/>
      <c r="F46" s="262"/>
      <c r="G46" s="263">
        <f t="shared" si="6"/>
        <v>0</v>
      </c>
      <c r="H46" s="264"/>
      <c r="I46" s="244"/>
      <c r="J46" s="244"/>
      <c r="K46" s="265"/>
      <c r="L46" s="243">
        <f t="shared" si="5"/>
        <v>0</v>
      </c>
      <c r="M46" s="244"/>
      <c r="N46" s="244"/>
      <c r="O46" s="244"/>
      <c r="P46" s="244"/>
      <c r="Q46" s="245"/>
      <c r="R46" s="246"/>
      <c r="S46" s="246"/>
      <c r="T46" s="246"/>
      <c r="U46" s="246"/>
      <c r="V46" s="246"/>
      <c r="W46" s="226"/>
    </row>
    <row r="47" spans="1:23" x14ac:dyDescent="0.2">
      <c r="A47" s="226"/>
      <c r="B47" s="259">
        <v>9</v>
      </c>
      <c r="C47" s="260" t="str">
        <f t="shared" si="4"/>
        <v/>
      </c>
      <c r="D47" s="225"/>
      <c r="E47" s="225"/>
      <c r="F47" s="262"/>
      <c r="G47" s="263">
        <f t="shared" si="6"/>
        <v>0</v>
      </c>
      <c r="H47" s="264"/>
      <c r="I47" s="244"/>
      <c r="J47" s="244"/>
      <c r="K47" s="265"/>
      <c r="L47" s="243">
        <f t="shared" si="5"/>
        <v>0</v>
      </c>
      <c r="M47" s="244"/>
      <c r="N47" s="244"/>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A13" zoomScale="70" zoomScaleNormal="70" zoomScaleSheetLayoutView="40" zoomScalePageLayoutView="80" workbookViewId="0">
      <selection activeCell="N16" activeCellId="1" sqref="T37:U44 N16"/>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408" t="s">
        <v>371</v>
      </c>
      <c r="C3" s="165"/>
      <c r="D3" s="165"/>
      <c r="E3" s="165"/>
      <c r="F3" s="165"/>
      <c r="G3" s="165"/>
      <c r="H3" s="165"/>
      <c r="I3" s="165"/>
      <c r="J3" s="165"/>
      <c r="K3" s="165"/>
      <c r="L3" s="166"/>
      <c r="M3" s="1"/>
      <c r="N3" s="1"/>
      <c r="O3" s="1"/>
      <c r="P3" s="1"/>
      <c r="Q3" s="1"/>
      <c r="R3" s="1"/>
      <c r="S3" s="1"/>
      <c r="T3" s="1"/>
      <c r="U3" s="1"/>
      <c r="V3" s="1"/>
      <c r="W3" s="1"/>
      <c r="X3" s="1"/>
    </row>
    <row r="4" spans="2:24" ht="18" x14ac:dyDescent="0.2">
      <c r="B4" s="408" t="s">
        <v>0</v>
      </c>
      <c r="C4" s="165"/>
      <c r="D4" s="165"/>
      <c r="E4" s="165"/>
      <c r="F4" s="165"/>
      <c r="G4" s="165"/>
      <c r="H4" s="165"/>
      <c r="I4" s="165"/>
      <c r="J4" s="165"/>
      <c r="K4" s="165"/>
      <c r="L4" s="166"/>
      <c r="M4" s="1"/>
      <c r="N4" s="1"/>
      <c r="O4" s="1"/>
      <c r="P4" s="1"/>
      <c r="Q4" s="1"/>
      <c r="R4" s="1"/>
      <c r="S4" s="1"/>
      <c r="T4" s="1"/>
      <c r="U4" s="1"/>
      <c r="V4" s="1"/>
      <c r="W4" s="1"/>
      <c r="X4" s="1"/>
    </row>
    <row r="5" spans="2:24" ht="18" x14ac:dyDescent="0.2">
      <c r="B5" s="408"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9" t="s">
        <v>2</v>
      </c>
      <c r="C7" s="469"/>
      <c r="D7" s="54" t="str">
        <f>IF(ISBLANK('1. Information'!D6),"",'1. Information'!D6)</f>
        <v>Amador</v>
      </c>
      <c r="F7" s="204" t="s">
        <v>3</v>
      </c>
      <c r="G7" s="227">
        <f>IF(ISBLANK('1. Information'!D5),"",'1. Information'!D5)</f>
        <v>43202</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406"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69" t="s">
        <v>62</v>
      </c>
      <c r="H12" s="464"/>
      <c r="I12" s="464"/>
      <c r="J12" s="470"/>
      <c r="K12" s="499" t="s">
        <v>60</v>
      </c>
      <c r="L12" s="499"/>
      <c r="M12" s="499"/>
      <c r="N12" s="499"/>
      <c r="O12" s="499"/>
      <c r="P12" s="499"/>
      <c r="Q12" s="499"/>
      <c r="R12" s="499"/>
      <c r="S12" s="499"/>
      <c r="T12" s="499"/>
      <c r="U12" s="475"/>
      <c r="V12" s="168"/>
    </row>
    <row r="13" spans="2:24" ht="47.25" customHeight="1" x14ac:dyDescent="0.2">
      <c r="C13" s="493"/>
      <c r="D13" s="493"/>
      <c r="E13" s="493"/>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1" t="s">
        <v>4</v>
      </c>
      <c r="D14" s="471"/>
      <c r="E14" s="471"/>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71" t="s">
        <v>176</v>
      </c>
      <c r="D15" s="471"/>
      <c r="E15" s="471"/>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94" t="s">
        <v>202</v>
      </c>
      <c r="D16" s="494"/>
      <c r="E16" s="494"/>
      <c r="F16" s="239">
        <f t="shared" si="0"/>
        <v>2268</v>
      </c>
      <c r="G16" s="247"/>
      <c r="H16" s="241"/>
      <c r="I16" s="241"/>
      <c r="J16" s="242"/>
      <c r="K16" s="243">
        <f t="shared" si="1"/>
        <v>2268</v>
      </c>
      <c r="L16" s="241"/>
      <c r="M16" s="273"/>
      <c r="N16" s="273">
        <v>2268</v>
      </c>
      <c r="O16" s="273"/>
      <c r="P16" s="245"/>
      <c r="Q16" s="246"/>
      <c r="R16" s="274"/>
      <c r="S16" s="274"/>
      <c r="T16" s="274"/>
      <c r="U16" s="274"/>
    </row>
    <row r="17" spans="2:27" s="228" customFormat="1" ht="15" customHeight="1" x14ac:dyDescent="0.25">
      <c r="B17" s="251">
        <v>4</v>
      </c>
      <c r="C17" s="471" t="s">
        <v>323</v>
      </c>
      <c r="D17" s="471"/>
      <c r="E17" s="471"/>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1" t="s">
        <v>306</v>
      </c>
      <c r="D18" s="471"/>
      <c r="E18" s="471"/>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71" t="s">
        <v>310</v>
      </c>
      <c r="D19" s="471"/>
      <c r="E19" s="471"/>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7" t="s">
        <v>203</v>
      </c>
      <c r="D20" s="467"/>
      <c r="E20" s="467"/>
      <c r="F20" s="239">
        <f t="shared" si="0"/>
        <v>490684</v>
      </c>
      <c r="G20" s="248">
        <f t="shared" ref="G20:U20" si="2">SUMIF($G$37:$G$66,"Combined Summary",M$37:M$66) + SUMIF($F$37:$F$66,"Standalone",M$37:M$66)</f>
        <v>0</v>
      </c>
      <c r="H20" s="249">
        <f t="shared" si="2"/>
        <v>0</v>
      </c>
      <c r="I20" s="249">
        <f t="shared" si="2"/>
        <v>0</v>
      </c>
      <c r="J20" s="250">
        <f t="shared" si="2"/>
        <v>0</v>
      </c>
      <c r="K20" s="245">
        <f t="shared" si="2"/>
        <v>490684</v>
      </c>
      <c r="L20" s="249">
        <f t="shared" si="2"/>
        <v>0</v>
      </c>
      <c r="M20" s="249">
        <f t="shared" si="2"/>
        <v>0</v>
      </c>
      <c r="N20" s="249">
        <f t="shared" si="2"/>
        <v>66869</v>
      </c>
      <c r="O20" s="249">
        <f t="shared" si="2"/>
        <v>423815</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5" t="s">
        <v>324</v>
      </c>
      <c r="D21" s="495"/>
      <c r="E21" s="495"/>
      <c r="F21" s="109">
        <f t="shared" ref="F21:U21" si="3">SUM(F14:F16,F19:F20)</f>
        <v>492952</v>
      </c>
      <c r="G21" s="108">
        <f t="shared" si="3"/>
        <v>0</v>
      </c>
      <c r="H21" s="52">
        <f t="shared" si="3"/>
        <v>0</v>
      </c>
      <c r="I21" s="52">
        <f t="shared" si="3"/>
        <v>0</v>
      </c>
      <c r="J21" s="110">
        <f t="shared" si="3"/>
        <v>0</v>
      </c>
      <c r="K21" s="108">
        <f t="shared" si="3"/>
        <v>492952</v>
      </c>
      <c r="L21" s="52">
        <f t="shared" si="3"/>
        <v>0</v>
      </c>
      <c r="M21" s="52">
        <f t="shared" si="3"/>
        <v>0</v>
      </c>
      <c r="N21" s="52">
        <f t="shared" si="3"/>
        <v>69137</v>
      </c>
      <c r="O21" s="52">
        <f t="shared" si="3"/>
        <v>423815</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5" t="s">
        <v>281</v>
      </c>
      <c r="D22" s="495"/>
      <c r="E22" s="495"/>
      <c r="F22" s="109"/>
      <c r="G22" s="108"/>
      <c r="H22" s="52"/>
      <c r="I22" s="52"/>
      <c r="J22" s="110"/>
      <c r="K22" s="108">
        <f>SUM(L22,M22:U22)</f>
        <v>1324975.0007000002</v>
      </c>
      <c r="L22" s="52">
        <f>'2. Component Summary'!E27+'2. Component Summary'!E32</f>
        <v>6977.5776999999998</v>
      </c>
      <c r="M22" s="52">
        <f>'2. Component Summary'!E30+'2. Component Summary'!E31</f>
        <v>524531.42300000007</v>
      </c>
      <c r="N22" s="52">
        <f>'2. Component Summary'!E26</f>
        <v>474942</v>
      </c>
      <c r="O22" s="52">
        <f>'2. Component Summary'!E25</f>
        <v>318524</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406"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98" t="s">
        <v>331</v>
      </c>
      <c r="G27" s="496"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98"/>
      <c r="G28" s="496"/>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98"/>
      <c r="G29" s="497"/>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500" t="s">
        <v>348</v>
      </c>
      <c r="D30" s="501"/>
      <c r="E30" s="502"/>
      <c r="F30" s="55">
        <f>IF(K21=0,"",((SUMPRODUCT($K$37:$K$66,$Q$37:$Q$66)+(K19*G30))/$K$21))</f>
        <v>0</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406"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64" t="s">
        <v>220</v>
      </c>
      <c r="D35" s="464"/>
      <c r="E35" s="464"/>
      <c r="F35" s="464"/>
      <c r="G35" s="464"/>
      <c r="H35" s="464"/>
      <c r="I35" s="464"/>
      <c r="J35" s="464"/>
      <c r="K35" s="464"/>
      <c r="L35" s="470"/>
      <c r="M35" s="490" t="s">
        <v>62</v>
      </c>
      <c r="N35" s="491"/>
      <c r="O35" s="491"/>
      <c r="P35" s="492"/>
      <c r="Q35" s="490" t="s">
        <v>60</v>
      </c>
      <c r="R35" s="491"/>
      <c r="S35" s="491"/>
      <c r="T35" s="491"/>
      <c r="U35" s="491"/>
      <c r="V35" s="491"/>
      <c r="W35" s="491"/>
      <c r="X35" s="491"/>
      <c r="Y35" s="491"/>
      <c r="Z35" s="491"/>
      <c r="AA35" s="491"/>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3</v>
      </c>
      <c r="D37" s="445" t="s">
        <v>436</v>
      </c>
      <c r="E37" s="261"/>
      <c r="F37" s="261" t="s">
        <v>196</v>
      </c>
      <c r="G37" s="225" t="s">
        <v>327</v>
      </c>
      <c r="H37" s="261"/>
      <c r="I37" s="289"/>
      <c r="J37" s="289">
        <v>0.2</v>
      </c>
      <c r="K37" s="290">
        <f t="shared" ref="K37:K66" si="5">IF(OR(G37="Combined Summary",F37="Standalone"),(SUMPRODUCT(--(D$37:D$66=D37),I$37:I$66,J$37:J$66)),"")</f>
        <v>0</v>
      </c>
      <c r="L37" s="239">
        <f>IF(AND(G37="Combined Summary",F37="Combined"),SUM(M37:Q37),IF(F37="Standalone",SUM(M37:Q37),""))</f>
        <v>57651</v>
      </c>
      <c r="M37" s="291"/>
      <c r="N37" s="241"/>
      <c r="O37" s="241"/>
      <c r="P37" s="242"/>
      <c r="Q37" s="243">
        <f>SUM(R37,S37:AA37)</f>
        <v>57651</v>
      </c>
      <c r="R37" s="241"/>
      <c r="S37" s="241"/>
      <c r="T37" s="241"/>
      <c r="U37" s="241">
        <v>57651</v>
      </c>
      <c r="V37" s="245"/>
      <c r="W37" s="246"/>
      <c r="X37" s="246"/>
      <c r="Y37" s="246"/>
      <c r="Z37" s="246"/>
      <c r="AA37" s="246"/>
    </row>
    <row r="38" spans="2:27" x14ac:dyDescent="0.2">
      <c r="B38" s="218">
        <v>2</v>
      </c>
      <c r="C38" s="287">
        <f t="shared" si="4"/>
        <v>3</v>
      </c>
      <c r="D38" s="445" t="s">
        <v>437</v>
      </c>
      <c r="E38" s="261"/>
      <c r="F38" s="261" t="s">
        <v>196</v>
      </c>
      <c r="G38" s="225" t="s">
        <v>181</v>
      </c>
      <c r="H38" s="261"/>
      <c r="I38" s="289"/>
      <c r="J38" s="289">
        <v>0.81</v>
      </c>
      <c r="K38" s="290">
        <f t="shared" si="5"/>
        <v>0</v>
      </c>
      <c r="L38" s="239">
        <f t="shared" ref="L38:L66" si="6">IF(AND(G38="Combined Summary",F38="Combined"),SUM(M38:Q38),IF(F38="Standalone",SUM(M38:Q38),""))</f>
        <v>27334</v>
      </c>
      <c r="M38" s="291"/>
      <c r="N38" s="241"/>
      <c r="O38" s="241"/>
      <c r="P38" s="242"/>
      <c r="Q38" s="243">
        <f t="shared" ref="Q38:Q66" si="7">SUM(R38,S38:AA38)</f>
        <v>27334</v>
      </c>
      <c r="R38" s="241"/>
      <c r="S38" s="241"/>
      <c r="T38" s="241"/>
      <c r="U38" s="241">
        <v>27334</v>
      </c>
      <c r="V38" s="245"/>
      <c r="W38" s="246"/>
      <c r="X38" s="246"/>
      <c r="Y38" s="246"/>
      <c r="Z38" s="246"/>
      <c r="AA38" s="246"/>
    </row>
    <row r="39" spans="2:27" x14ac:dyDescent="0.2">
      <c r="B39" s="218">
        <v>3</v>
      </c>
      <c r="C39" s="287">
        <f t="shared" si="4"/>
        <v>3</v>
      </c>
      <c r="D39" s="445" t="s">
        <v>438</v>
      </c>
      <c r="E39" s="225"/>
      <c r="F39" s="261" t="s">
        <v>196</v>
      </c>
      <c r="G39" s="225" t="s">
        <v>175</v>
      </c>
      <c r="H39" s="261"/>
      <c r="I39" s="289"/>
      <c r="J39" s="289">
        <v>0.24</v>
      </c>
      <c r="K39" s="290">
        <f t="shared" si="5"/>
        <v>0</v>
      </c>
      <c r="L39" s="239">
        <f t="shared" si="6"/>
        <v>140000</v>
      </c>
      <c r="M39" s="291"/>
      <c r="N39" s="241"/>
      <c r="O39" s="241"/>
      <c r="P39" s="242"/>
      <c r="Q39" s="243">
        <f t="shared" si="7"/>
        <v>140000</v>
      </c>
      <c r="R39" s="241"/>
      <c r="S39" s="241"/>
      <c r="T39" s="241"/>
      <c r="U39" s="241">
        <v>140000</v>
      </c>
      <c r="V39" s="245"/>
      <c r="W39" s="246"/>
      <c r="X39" s="246"/>
      <c r="Y39" s="246"/>
      <c r="Z39" s="246"/>
      <c r="AA39" s="246"/>
    </row>
    <row r="40" spans="2:27" x14ac:dyDescent="0.2">
      <c r="B40" s="218">
        <v>4</v>
      </c>
      <c r="C40" s="287">
        <f t="shared" si="4"/>
        <v>3</v>
      </c>
      <c r="D40" s="445" t="s">
        <v>439</v>
      </c>
      <c r="E40" s="261"/>
      <c r="F40" s="261" t="s">
        <v>196</v>
      </c>
      <c r="G40" s="225" t="s">
        <v>181</v>
      </c>
      <c r="H40" s="261"/>
      <c r="I40" s="289"/>
      <c r="J40" s="289">
        <v>0.92</v>
      </c>
      <c r="K40" s="290">
        <f t="shared" si="5"/>
        <v>0</v>
      </c>
      <c r="L40" s="239">
        <f t="shared" si="6"/>
        <v>40000</v>
      </c>
      <c r="M40" s="291"/>
      <c r="N40" s="241"/>
      <c r="O40" s="241"/>
      <c r="P40" s="242"/>
      <c r="Q40" s="243">
        <f t="shared" si="7"/>
        <v>40000</v>
      </c>
      <c r="R40" s="241"/>
      <c r="S40" s="241"/>
      <c r="T40" s="241"/>
      <c r="U40" s="241">
        <v>40000</v>
      </c>
      <c r="V40" s="245"/>
      <c r="W40" s="246"/>
      <c r="X40" s="246"/>
      <c r="Y40" s="246"/>
      <c r="Z40" s="246"/>
      <c r="AA40" s="246"/>
    </row>
    <row r="41" spans="2:27" x14ac:dyDescent="0.2">
      <c r="B41" s="218">
        <v>5</v>
      </c>
      <c r="C41" s="287">
        <f t="shared" si="4"/>
        <v>3</v>
      </c>
      <c r="D41" s="445" t="s">
        <v>440</v>
      </c>
      <c r="E41" s="261"/>
      <c r="F41" s="261" t="s">
        <v>196</v>
      </c>
      <c r="G41" s="225" t="s">
        <v>327</v>
      </c>
      <c r="H41" s="261"/>
      <c r="I41" s="289"/>
      <c r="J41" s="289">
        <v>0.96</v>
      </c>
      <c r="K41" s="290">
        <f t="shared" si="5"/>
        <v>0</v>
      </c>
      <c r="L41" s="239">
        <f t="shared" si="6"/>
        <v>47640</v>
      </c>
      <c r="M41" s="291"/>
      <c r="N41" s="241"/>
      <c r="O41" s="241"/>
      <c r="P41" s="242"/>
      <c r="Q41" s="243">
        <f t="shared" si="7"/>
        <v>47640</v>
      </c>
      <c r="R41" s="241"/>
      <c r="S41" s="241"/>
      <c r="T41" s="241"/>
      <c r="U41" s="241">
        <v>47640</v>
      </c>
      <c r="V41" s="245"/>
      <c r="W41" s="246"/>
      <c r="X41" s="246"/>
      <c r="Y41" s="246"/>
      <c r="Z41" s="246"/>
      <c r="AA41" s="246"/>
    </row>
    <row r="42" spans="2:27" x14ac:dyDescent="0.2">
      <c r="B42" s="251">
        <v>6</v>
      </c>
      <c r="C42" s="287">
        <f t="shared" si="4"/>
        <v>3</v>
      </c>
      <c r="D42" s="445" t="s">
        <v>441</v>
      </c>
      <c r="E42" s="261"/>
      <c r="F42" s="261" t="s">
        <v>196</v>
      </c>
      <c r="G42" s="261" t="s">
        <v>198</v>
      </c>
      <c r="H42" s="261"/>
      <c r="I42" s="289"/>
      <c r="J42" s="289">
        <v>0.18</v>
      </c>
      <c r="K42" s="290">
        <f t="shared" si="5"/>
        <v>0</v>
      </c>
      <c r="L42" s="239">
        <f t="shared" si="6"/>
        <v>34000</v>
      </c>
      <c r="M42" s="291"/>
      <c r="N42" s="241"/>
      <c r="O42" s="241"/>
      <c r="P42" s="242"/>
      <c r="Q42" s="243">
        <f t="shared" si="7"/>
        <v>34000</v>
      </c>
      <c r="R42" s="241"/>
      <c r="S42" s="241"/>
      <c r="T42" s="241">
        <f>34000-U42</f>
        <v>28101</v>
      </c>
      <c r="U42" s="241">
        <v>5899</v>
      </c>
      <c r="V42" s="245"/>
      <c r="W42" s="246"/>
      <c r="X42" s="246"/>
      <c r="Y42" s="246"/>
      <c r="Z42" s="246"/>
      <c r="AA42" s="246"/>
    </row>
    <row r="43" spans="2:27" x14ac:dyDescent="0.2">
      <c r="B43" s="218">
        <v>7</v>
      </c>
      <c r="C43" s="287">
        <f t="shared" si="4"/>
        <v>3</v>
      </c>
      <c r="D43" s="445" t="s">
        <v>442</v>
      </c>
      <c r="E43" s="225"/>
      <c r="F43" s="261" t="s">
        <v>196</v>
      </c>
      <c r="G43" s="225" t="s">
        <v>180</v>
      </c>
      <c r="H43" s="261"/>
      <c r="I43" s="289"/>
      <c r="J43" s="289">
        <v>0.38</v>
      </c>
      <c r="K43" s="290">
        <f t="shared" si="5"/>
        <v>0</v>
      </c>
      <c r="L43" s="239">
        <f t="shared" si="6"/>
        <v>27609</v>
      </c>
      <c r="M43" s="291"/>
      <c r="N43" s="241"/>
      <c r="O43" s="241"/>
      <c r="P43" s="242"/>
      <c r="Q43" s="243">
        <f t="shared" si="7"/>
        <v>27609</v>
      </c>
      <c r="R43" s="241"/>
      <c r="S43" s="241"/>
      <c r="T43" s="241">
        <v>27609</v>
      </c>
      <c r="U43" s="241"/>
      <c r="V43" s="245"/>
      <c r="W43" s="246"/>
      <c r="X43" s="246"/>
      <c r="Y43" s="246"/>
      <c r="Z43" s="246"/>
      <c r="AA43" s="246"/>
    </row>
    <row r="44" spans="2:27" x14ac:dyDescent="0.2">
      <c r="B44" s="218">
        <v>8</v>
      </c>
      <c r="C44" s="287">
        <f t="shared" si="4"/>
        <v>3</v>
      </c>
      <c r="D44" s="445" t="s">
        <v>443</v>
      </c>
      <c r="E44" s="225"/>
      <c r="F44" s="261" t="s">
        <v>196</v>
      </c>
      <c r="G44" s="225" t="s">
        <v>198</v>
      </c>
      <c r="H44" s="225"/>
      <c r="I44" s="289"/>
      <c r="J44" s="289">
        <v>0</v>
      </c>
      <c r="K44" s="290">
        <f t="shared" si="5"/>
        <v>0</v>
      </c>
      <c r="L44" s="239">
        <f t="shared" si="6"/>
        <v>11159</v>
      </c>
      <c r="M44" s="291"/>
      <c r="N44" s="241"/>
      <c r="O44" s="241"/>
      <c r="P44" s="242"/>
      <c r="Q44" s="243">
        <f t="shared" si="7"/>
        <v>11159</v>
      </c>
      <c r="R44" s="241"/>
      <c r="S44" s="244"/>
      <c r="T44" s="244">
        <v>11159</v>
      </c>
      <c r="U44" s="244"/>
      <c r="V44" s="245"/>
      <c r="W44" s="246"/>
      <c r="X44" s="246"/>
      <c r="Y44" s="246"/>
      <c r="Z44" s="246"/>
      <c r="AA44" s="246"/>
    </row>
    <row r="45" spans="2:27" x14ac:dyDescent="0.2">
      <c r="B45" s="218">
        <v>9</v>
      </c>
      <c r="C45" s="287" t="str">
        <f t="shared" si="4"/>
        <v/>
      </c>
      <c r="D45" s="444"/>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444"/>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44"/>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44"/>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44"/>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44"/>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44"/>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44"/>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44"/>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44"/>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44"/>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44"/>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44"/>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44"/>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44"/>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44"/>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44"/>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44"/>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44"/>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44"/>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44"/>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44"/>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18:E18"/>
    <mergeCell ref="C19:E19"/>
    <mergeCell ref="C17:E17"/>
    <mergeCell ref="B7:C7"/>
    <mergeCell ref="M35:P35"/>
    <mergeCell ref="Q35:AA35"/>
    <mergeCell ref="C13:E13"/>
    <mergeCell ref="C14:E14"/>
    <mergeCell ref="C15:E15"/>
    <mergeCell ref="C16:E16"/>
    <mergeCell ref="C21:E21"/>
    <mergeCell ref="C22:E22"/>
    <mergeCell ref="C20:E20"/>
    <mergeCell ref="G27:G29"/>
    <mergeCell ref="C35:L35"/>
    <mergeCell ref="F27:F29"/>
    <mergeCell ref="G12:J12"/>
    <mergeCell ref="K12:U12"/>
    <mergeCell ref="C30:E30"/>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zoomScale="70" zoomScaleNormal="70" zoomScaleSheetLayoutView="40" workbookViewId="0">
      <selection activeCell="N14" sqref="N14"/>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73" t="s">
        <v>332</v>
      </c>
      <c r="C1" s="473"/>
      <c r="D1" s="473"/>
    </row>
    <row r="2" spans="2:27" x14ac:dyDescent="0.2">
      <c r="B2" s="208"/>
      <c r="C2" s="208"/>
      <c r="D2" s="208"/>
    </row>
    <row r="3" spans="2:27" ht="18" x14ac:dyDescent="0.25">
      <c r="B3" s="409"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410"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409"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64" t="s">
        <v>2</v>
      </c>
      <c r="C7" s="464"/>
      <c r="D7" s="54" t="str">
        <f>IF(ISBLANK('1. Information'!D6),"",'1. Information'!D6)</f>
        <v>Amador</v>
      </c>
      <c r="F7" s="204" t="s">
        <v>3</v>
      </c>
      <c r="G7" s="227">
        <f>IF(ISBLANK('1. Information'!D5),"",'1. Information'!D5)</f>
        <v>43202</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411"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1" t="s">
        <v>62</v>
      </c>
      <c r="H12" s="491"/>
      <c r="I12" s="491"/>
      <c r="J12" s="492"/>
      <c r="K12" s="506" t="s">
        <v>219</v>
      </c>
      <c r="L12" s="506"/>
      <c r="M12" s="506"/>
      <c r="N12" s="506"/>
      <c r="O12" s="506"/>
      <c r="P12" s="506"/>
      <c r="Q12" s="506"/>
      <c r="R12" s="506"/>
      <c r="S12" s="506"/>
      <c r="T12" s="506"/>
      <c r="U12" s="507"/>
      <c r="V12" s="63"/>
      <c r="W12" s="58"/>
      <c r="X12" s="58"/>
      <c r="Y12" s="58"/>
      <c r="Z12" s="58"/>
      <c r="AA12" s="58"/>
    </row>
    <row r="13" spans="2:27" ht="65.25" customHeight="1" x14ac:dyDescent="0.25">
      <c r="B13" s="226"/>
      <c r="C13" s="511"/>
      <c r="D13" s="511"/>
      <c r="E13" s="511"/>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1" t="s">
        <v>214</v>
      </c>
      <c r="D14" s="471"/>
      <c r="E14" s="471"/>
      <c r="F14" s="122">
        <f>SUM(G14:J14,K14)</f>
        <v>13780</v>
      </c>
      <c r="G14" s="113"/>
      <c r="H14" s="77"/>
      <c r="I14" s="77"/>
      <c r="J14" s="119"/>
      <c r="K14" s="78">
        <f t="shared" ref="K14:K19" si="0">SUM(L14,M14:U14)</f>
        <v>13780</v>
      </c>
      <c r="L14" s="77"/>
      <c r="M14" s="77"/>
      <c r="N14" s="77"/>
      <c r="O14" s="77">
        <v>13780</v>
      </c>
      <c r="P14" s="77"/>
      <c r="Q14" s="77"/>
      <c r="R14" s="77"/>
      <c r="S14" s="77"/>
      <c r="T14" s="77"/>
      <c r="U14" s="77"/>
      <c r="V14" s="58"/>
      <c r="W14" s="58"/>
      <c r="X14" s="58"/>
      <c r="Y14" s="58"/>
      <c r="Z14" s="58"/>
      <c r="AA14" s="226"/>
    </row>
    <row r="15" spans="2:27" ht="15.75" x14ac:dyDescent="0.25">
      <c r="B15" s="218">
        <v>2</v>
      </c>
      <c r="C15" s="471" t="s">
        <v>215</v>
      </c>
      <c r="D15" s="471"/>
      <c r="E15" s="471"/>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71" t="s">
        <v>216</v>
      </c>
      <c r="D16" s="471"/>
      <c r="E16" s="471"/>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71" t="s">
        <v>217</v>
      </c>
      <c r="D17" s="471"/>
      <c r="E17" s="471"/>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71" t="s">
        <v>334</v>
      </c>
      <c r="D18" s="471"/>
      <c r="E18" s="471"/>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510" t="s">
        <v>218</v>
      </c>
      <c r="D19" s="510"/>
      <c r="E19" s="510"/>
      <c r="F19" s="122">
        <f>SUM(F16:F18)</f>
        <v>0</v>
      </c>
      <c r="G19" s="116">
        <f>SUM(G16:G18)</f>
        <v>0</v>
      </c>
      <c r="H19" s="65">
        <f>SUM(H16:H18)</f>
        <v>0</v>
      </c>
      <c r="I19" s="65">
        <f>SUM(I16:I18)</f>
        <v>0</v>
      </c>
      <c r="J19" s="122">
        <f>SUM(J16:J18)</f>
        <v>0</v>
      </c>
      <c r="K19" s="116">
        <f t="shared" si="0"/>
        <v>0</v>
      </c>
      <c r="L19" s="65">
        <f t="shared" ref="L19:U19" si="4">SUM(L16:L18)</f>
        <v>0</v>
      </c>
      <c r="M19" s="65">
        <f t="shared" si="4"/>
        <v>0</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95" t="s">
        <v>335</v>
      </c>
      <c r="D20" s="495"/>
      <c r="E20" s="495"/>
      <c r="F20" s="122">
        <f t="shared" ref="F20:U20" si="5">SUM(F14:F15,F16:F18)</f>
        <v>13780</v>
      </c>
      <c r="G20" s="117">
        <f t="shared" si="5"/>
        <v>0</v>
      </c>
      <c r="H20" s="67">
        <f t="shared" si="5"/>
        <v>0</v>
      </c>
      <c r="I20" s="67">
        <f t="shared" si="5"/>
        <v>0</v>
      </c>
      <c r="J20" s="123">
        <f t="shared" si="5"/>
        <v>0</v>
      </c>
      <c r="K20" s="117">
        <f t="shared" si="5"/>
        <v>13780</v>
      </c>
      <c r="L20" s="67">
        <f t="shared" si="5"/>
        <v>0</v>
      </c>
      <c r="M20" s="67">
        <f t="shared" si="5"/>
        <v>0</v>
      </c>
      <c r="N20" s="67">
        <f t="shared" si="5"/>
        <v>0</v>
      </c>
      <c r="O20" s="67">
        <f t="shared" si="5"/>
        <v>13780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95" t="s">
        <v>308</v>
      </c>
      <c r="D21" s="495"/>
      <c r="E21" s="495"/>
      <c r="F21" s="239"/>
      <c r="G21" s="245"/>
      <c r="H21" s="246"/>
      <c r="I21" s="246"/>
      <c r="J21" s="239"/>
      <c r="K21" s="245">
        <f>SUM(L21,M21:U21)</f>
        <v>878249.52650000004</v>
      </c>
      <c r="L21" s="246">
        <f>'2. Component Summary'!F27+'2. Component Summary'!F32</f>
        <v>3597.9415000000004</v>
      </c>
      <c r="M21" s="246">
        <f>'2. Component Summary'!F30+'2. Component Summary'!F31</f>
        <v>138034.58500000002</v>
      </c>
      <c r="N21" s="246">
        <f>'2. Component Summary'!F26</f>
        <v>124985</v>
      </c>
      <c r="O21" s="246">
        <f>'2. Component Summary'!F25</f>
        <v>142000</v>
      </c>
      <c r="P21" s="246">
        <f>'2. Component Summary'!F24</f>
        <v>101445</v>
      </c>
      <c r="Q21" s="246">
        <f>'2. Component Summary'!F23</f>
        <v>130498</v>
      </c>
      <c r="R21" s="246">
        <f>'2. Component Summary'!F22</f>
        <v>22005</v>
      </c>
      <c r="S21" s="246">
        <f>'2. Component Summary'!F21</f>
        <v>182165</v>
      </c>
      <c r="T21" s="246">
        <f>'2. Component Summary'!F20</f>
        <v>33519</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407"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05" t="s">
        <v>222</v>
      </c>
      <c r="D26" s="505"/>
      <c r="E26" s="505"/>
      <c r="F26" s="505"/>
      <c r="G26" s="505"/>
      <c r="H26" s="505"/>
      <c r="I26" s="505"/>
      <c r="J26" s="505"/>
      <c r="K26" s="132"/>
      <c r="L26" s="508" t="s">
        <v>62</v>
      </c>
      <c r="M26" s="508"/>
      <c r="N26" s="508"/>
      <c r="O26" s="509"/>
      <c r="P26" s="503" t="s">
        <v>60</v>
      </c>
      <c r="Q26" s="504"/>
      <c r="R26" s="504"/>
      <c r="S26" s="504"/>
      <c r="T26" s="504"/>
      <c r="U26" s="504"/>
      <c r="V26" s="504"/>
      <c r="W26" s="504"/>
      <c r="X26" s="504"/>
      <c r="Y26" s="504"/>
      <c r="Z26" s="504"/>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t="str">
        <f>IF(AND(NOT(COUNTA(D28:I28)),(NOT(COUNTA(L28:O28))),(NOT(COUNTA(R28:Z28)))),"",VLOOKUP($D$7,Info_County_Code,2,FALSE))</f>
        <v/>
      </c>
      <c r="D28" s="456"/>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t="str">
        <f t="shared" ref="C29:I30" si="7">IF(ISBLANK(C28),"",C28)</f>
        <v/>
      </c>
      <c r="D29" s="298" t="str">
        <f t="shared" si="7"/>
        <v/>
      </c>
      <c r="E29" s="299" t="str">
        <f t="shared" si="7"/>
        <v/>
      </c>
      <c r="F29" s="299" t="str">
        <f t="shared" si="7"/>
        <v/>
      </c>
      <c r="G29" s="299" t="str">
        <f t="shared" si="7"/>
        <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t="str">
        <f t="shared" ref="C30:H30" si="9">IF(ISBLANK(C28),"",C28)</f>
        <v/>
      </c>
      <c r="D30" s="300" t="str">
        <f t="shared" si="9"/>
        <v/>
      </c>
      <c r="E30" s="301" t="str">
        <f t="shared" si="9"/>
        <v/>
      </c>
      <c r="F30" s="301" t="str">
        <f t="shared" si="9"/>
        <v/>
      </c>
      <c r="G30" s="301" t="str">
        <f t="shared" si="9"/>
        <v/>
      </c>
      <c r="H30" s="246" t="str">
        <f t="shared" si="9"/>
        <v/>
      </c>
      <c r="I30" s="246" t="str">
        <f t="shared" si="7"/>
        <v/>
      </c>
      <c r="J30" s="246" t="s">
        <v>338</v>
      </c>
      <c r="K30" s="239">
        <f t="shared" si="6"/>
        <v>0</v>
      </c>
      <c r="L30" s="247"/>
      <c r="M30" s="241"/>
      <c r="N30" s="241"/>
      <c r="O30" s="242"/>
      <c r="P30" s="243">
        <f t="shared" si="8"/>
        <v>0</v>
      </c>
      <c r="Q30" s="241"/>
      <c r="R30" s="241"/>
      <c r="S30" s="241"/>
      <c r="T30" s="241"/>
      <c r="U30" s="241"/>
      <c r="V30" s="241"/>
      <c r="W30" s="241"/>
      <c r="X30" s="241"/>
      <c r="Y30" s="241"/>
      <c r="Z30" s="241"/>
      <c r="AA30" s="226"/>
    </row>
    <row r="31" spans="2:27" ht="15.75" x14ac:dyDescent="0.25">
      <c r="B31" s="209">
        <v>1</v>
      </c>
      <c r="C31" s="69" t="str">
        <f t="shared" ref="C31:I31" si="10">IF(ISBLANK(C28),"",C28)</f>
        <v/>
      </c>
      <c r="D31" s="82" t="str">
        <f t="shared" si="10"/>
        <v/>
      </c>
      <c r="E31" s="83" t="str">
        <f t="shared" si="10"/>
        <v/>
      </c>
      <c r="F31" s="83" t="str">
        <f t="shared" si="10"/>
        <v/>
      </c>
      <c r="G31" s="83" t="str">
        <f t="shared" si="10"/>
        <v/>
      </c>
      <c r="H31" s="84" t="str">
        <f t="shared" si="10"/>
        <v/>
      </c>
      <c r="I31" s="84" t="str">
        <f t="shared" si="10"/>
        <v/>
      </c>
      <c r="J31" s="52" t="s">
        <v>388</v>
      </c>
      <c r="K31" s="110">
        <f t="shared" si="6"/>
        <v>0</v>
      </c>
      <c r="L31" s="130">
        <f>SUM(L28:L30)</f>
        <v>0</v>
      </c>
      <c r="M31" s="85">
        <f>SUM(M28:M30)</f>
        <v>0</v>
      </c>
      <c r="N31" s="85">
        <f>SUM(N28:N30)</f>
        <v>0</v>
      </c>
      <c r="O31" s="134">
        <f>SUM(O28:O30)</f>
        <v>0</v>
      </c>
      <c r="P31" s="108">
        <f t="shared" si="8"/>
        <v>0</v>
      </c>
      <c r="Q31" s="85">
        <f t="shared" ref="Q31:Z31" si="11">SUM(Q28:Q30)</f>
        <v>0</v>
      </c>
      <c r="R31" s="85">
        <f t="shared" si="11"/>
        <v>0</v>
      </c>
      <c r="S31" s="85">
        <f t="shared" si="11"/>
        <v>0</v>
      </c>
      <c r="T31" s="85">
        <f t="shared" si="11"/>
        <v>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A7" zoomScale="80" zoomScaleNormal="80" zoomScaleSheetLayoutView="55" workbookViewId="0">
      <selection activeCell="W30" sqref="W30"/>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405"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405"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Amador</v>
      </c>
      <c r="F7" s="204" t="s">
        <v>3</v>
      </c>
      <c r="G7" s="88">
        <f>IF(ISBLANK('1. Information'!D5),"",'1. Information'!D5)</f>
        <v>43202</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406"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5" t="s">
        <v>304</v>
      </c>
      <c r="H12" s="516"/>
      <c r="I12" s="516"/>
      <c r="J12" s="517"/>
      <c r="K12" s="478" t="s">
        <v>305</v>
      </c>
      <c r="L12" s="479"/>
      <c r="M12" s="479"/>
      <c r="N12" s="479"/>
      <c r="O12" s="479"/>
      <c r="P12" s="479"/>
      <c r="Q12" s="479"/>
      <c r="R12" s="479"/>
      <c r="S12" s="479"/>
      <c r="T12" s="479"/>
      <c r="U12" s="479"/>
      <c r="V12" s="479"/>
      <c r="W12" s="479"/>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1" t="s">
        <v>34</v>
      </c>
      <c r="D14" s="471"/>
      <c r="E14" s="471"/>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71" t="s">
        <v>35</v>
      </c>
      <c r="D15" s="471"/>
      <c r="E15" s="471"/>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71" t="s">
        <v>339</v>
      </c>
      <c r="D16" s="471"/>
      <c r="E16" s="471"/>
      <c r="F16" s="239">
        <f t="shared" si="0"/>
        <v>0</v>
      </c>
      <c r="G16" s="302"/>
      <c r="H16" s="303"/>
      <c r="I16" s="303"/>
      <c r="J16" s="304"/>
      <c r="K16" s="243">
        <f t="shared" si="1"/>
        <v>0</v>
      </c>
      <c r="L16" s="303"/>
      <c r="M16" s="241"/>
      <c r="N16" s="241"/>
      <c r="O16" s="241"/>
      <c r="P16" s="241"/>
      <c r="Q16" s="241"/>
      <c r="R16" s="241"/>
      <c r="S16" s="241"/>
      <c r="T16" s="241"/>
      <c r="U16" s="241"/>
      <c r="V16" s="241"/>
      <c r="W16" s="241"/>
      <c r="X16" s="226"/>
      <c r="Y16" s="226"/>
    </row>
    <row r="17" spans="1:25" ht="15.75" x14ac:dyDescent="0.25">
      <c r="A17" s="226"/>
      <c r="B17" s="218">
        <v>4</v>
      </c>
      <c r="C17" s="471" t="s">
        <v>314</v>
      </c>
      <c r="D17" s="471"/>
      <c r="E17" s="471"/>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1" t="s">
        <v>315</v>
      </c>
      <c r="D18" s="471"/>
      <c r="E18" s="471"/>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80" t="s">
        <v>229</v>
      </c>
      <c r="D19" s="481"/>
      <c r="E19" s="482"/>
      <c r="F19" s="239">
        <f t="shared" si="0"/>
        <v>33898</v>
      </c>
      <c r="G19" s="248">
        <f>SUM(H29:H33)</f>
        <v>0</v>
      </c>
      <c r="H19" s="249">
        <f>SUM(I29:I33)</f>
        <v>0</v>
      </c>
      <c r="I19" s="249">
        <f>SUM(J29:J33)</f>
        <v>0</v>
      </c>
      <c r="J19" s="250">
        <f>SUM(K29:K33)</f>
        <v>0</v>
      </c>
      <c r="K19" s="245">
        <f t="shared" si="1"/>
        <v>33898</v>
      </c>
      <c r="L19" s="249">
        <f t="shared" ref="L19:U19" si="2">SUM(M29:M33)</f>
        <v>0</v>
      </c>
      <c r="M19" s="249">
        <f t="shared" si="2"/>
        <v>0</v>
      </c>
      <c r="N19" s="249">
        <f t="shared" si="2"/>
        <v>0</v>
      </c>
      <c r="O19" s="249">
        <f t="shared" si="2"/>
        <v>0</v>
      </c>
      <c r="P19" s="249">
        <f t="shared" si="2"/>
        <v>0</v>
      </c>
      <c r="Q19" s="249">
        <f t="shared" si="2"/>
        <v>0</v>
      </c>
      <c r="R19" s="249">
        <f t="shared" si="2"/>
        <v>1352</v>
      </c>
      <c r="S19" s="249">
        <f t="shared" si="2"/>
        <v>0</v>
      </c>
      <c r="T19" s="249">
        <f t="shared" si="2"/>
        <v>0</v>
      </c>
      <c r="U19" s="249">
        <f t="shared" si="2"/>
        <v>0</v>
      </c>
      <c r="V19" s="249">
        <f>SUM(W29:W33)</f>
        <v>32546</v>
      </c>
      <c r="W19" s="249">
        <f>SUM(X29:X33)</f>
        <v>0</v>
      </c>
      <c r="X19" s="226"/>
      <c r="Y19" s="226"/>
    </row>
    <row r="20" spans="1:25" ht="30.95" customHeight="1" x14ac:dyDescent="0.25">
      <c r="A20" s="226"/>
      <c r="B20" s="218">
        <v>7</v>
      </c>
      <c r="C20" s="495" t="s">
        <v>313</v>
      </c>
      <c r="D20" s="495"/>
      <c r="E20" s="495"/>
      <c r="F20" s="109">
        <f>SUM(F14:F16,F18:F19)</f>
        <v>33898</v>
      </c>
      <c r="G20" s="107">
        <f>SUM(G14:G16,G18:G19)</f>
        <v>0</v>
      </c>
      <c r="H20" s="51">
        <f t="shared" ref="H20:W20" si="3">SUM(H14:H16,H18:H19)</f>
        <v>0</v>
      </c>
      <c r="I20" s="51">
        <f t="shared" si="3"/>
        <v>0</v>
      </c>
      <c r="J20" s="109">
        <f t="shared" si="3"/>
        <v>0</v>
      </c>
      <c r="K20" s="107">
        <f t="shared" si="3"/>
        <v>33898</v>
      </c>
      <c r="L20" s="51">
        <f t="shared" si="3"/>
        <v>0</v>
      </c>
      <c r="M20" s="51">
        <f t="shared" si="3"/>
        <v>0</v>
      </c>
      <c r="N20" s="51">
        <f t="shared" si="3"/>
        <v>0</v>
      </c>
      <c r="O20" s="51">
        <f t="shared" si="3"/>
        <v>0</v>
      </c>
      <c r="P20" s="51">
        <f t="shared" si="3"/>
        <v>0</v>
      </c>
      <c r="Q20" s="51">
        <f t="shared" si="3"/>
        <v>0</v>
      </c>
      <c r="R20" s="51">
        <f t="shared" si="3"/>
        <v>1352</v>
      </c>
      <c r="S20" s="51">
        <f t="shared" si="3"/>
        <v>0</v>
      </c>
      <c r="T20" s="51">
        <f t="shared" si="3"/>
        <v>0</v>
      </c>
      <c r="U20" s="51">
        <f t="shared" si="3"/>
        <v>0</v>
      </c>
      <c r="V20" s="51">
        <f t="shared" si="3"/>
        <v>32546</v>
      </c>
      <c r="W20" s="51">
        <f t="shared" si="3"/>
        <v>0</v>
      </c>
      <c r="X20" s="226"/>
      <c r="Y20" s="226"/>
    </row>
    <row r="21" spans="1:25" ht="30.95" customHeight="1" x14ac:dyDescent="0.25">
      <c r="A21" s="226"/>
      <c r="B21" s="218">
        <v>8</v>
      </c>
      <c r="C21" s="495" t="s">
        <v>309</v>
      </c>
      <c r="D21" s="495"/>
      <c r="E21" s="495"/>
      <c r="F21" s="109"/>
      <c r="G21" s="107"/>
      <c r="H21" s="51"/>
      <c r="I21" s="51"/>
      <c r="J21" s="109"/>
      <c r="K21" s="107">
        <f>SUM(L21,M21:W21)</f>
        <v>191651</v>
      </c>
      <c r="L21" s="51">
        <f>'2. Component Summary'!G27+'2. Component Summary'!G32</f>
        <v>909</v>
      </c>
      <c r="M21" s="51">
        <f>'2. Component Summary'!G30+'2. Component Summary'!G31</f>
        <v>0</v>
      </c>
      <c r="N21" s="51">
        <f>'2. Component Summary'!G26</f>
        <v>0</v>
      </c>
      <c r="O21" s="51">
        <f>'2. Component Summary'!G25</f>
        <v>0</v>
      </c>
      <c r="P21" s="51">
        <f>'2. Component Summary'!G24</f>
        <v>0</v>
      </c>
      <c r="Q21" s="51">
        <f>'2. Component Summary'!G23</f>
        <v>0</v>
      </c>
      <c r="R21" s="51">
        <f>'2. Component Summary'!G22</f>
        <v>1352</v>
      </c>
      <c r="S21" s="51">
        <f>'2. Component Summary'!G21</f>
        <v>0</v>
      </c>
      <c r="T21" s="51">
        <f>'2. Component Summary'!G20</f>
        <v>0</v>
      </c>
      <c r="U21" s="51">
        <f>'2. Component Summary'!G19</f>
        <v>0</v>
      </c>
      <c r="V21" s="51">
        <f>'2. Component Summary'!G18</f>
        <v>189390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407"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79" t="s">
        <v>303</v>
      </c>
      <c r="D27" s="479"/>
      <c r="E27" s="479"/>
      <c r="F27" s="479"/>
      <c r="G27" s="512"/>
      <c r="H27" s="478" t="s">
        <v>62</v>
      </c>
      <c r="I27" s="479"/>
      <c r="J27" s="479"/>
      <c r="K27" s="512"/>
      <c r="L27" s="513" t="s">
        <v>60</v>
      </c>
      <c r="M27" s="514"/>
      <c r="N27" s="514"/>
      <c r="O27" s="514"/>
      <c r="P27" s="514"/>
      <c r="Q27" s="514"/>
      <c r="R27" s="514"/>
      <c r="S27" s="514"/>
      <c r="T27" s="514"/>
      <c r="U27" s="514"/>
      <c r="V27" s="514"/>
      <c r="W27" s="514"/>
      <c r="X27" s="514"/>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f>IF(AND(NOT(COUNTA(D29:E29)),(NOT(COUNTA(H29:K29))),(NOT(COUNTA(M29:X29)))),"",VLOOKUP($D$7,Info_County_Code,2,FALSE))</f>
        <v>3</v>
      </c>
      <c r="D29" s="300"/>
      <c r="E29" s="307"/>
      <c r="F29" s="308" t="s">
        <v>140</v>
      </c>
      <c r="G29" s="239">
        <f>SUM(H29:K29,L29)</f>
        <v>11298</v>
      </c>
      <c r="H29" s="247"/>
      <c r="I29" s="244"/>
      <c r="J29" s="244"/>
      <c r="K29" s="265"/>
      <c r="L29" s="243">
        <f>SUM(M29,N29:X29)</f>
        <v>11298</v>
      </c>
      <c r="M29" s="244"/>
      <c r="N29" s="244"/>
      <c r="O29" s="244"/>
      <c r="P29" s="244"/>
      <c r="Q29" s="244"/>
      <c r="R29" s="244"/>
      <c r="S29" s="244"/>
      <c r="T29" s="244"/>
      <c r="U29" s="244"/>
      <c r="V29" s="244"/>
      <c r="W29" s="244">
        <v>11298</v>
      </c>
      <c r="X29" s="244"/>
    </row>
    <row r="30" spans="1:25" x14ac:dyDescent="0.2">
      <c r="A30" s="226"/>
      <c r="B30" s="218">
        <v>2</v>
      </c>
      <c r="C30" s="287">
        <f>IF(AND(NOT(COUNTA(D30:E30)),(NOT(COUNTA(H30:K30))),(NOT(COUNTA(M30:X30)))),"",VLOOKUP($D$7,Info_County_Code,2,FALSE))</f>
        <v>3</v>
      </c>
      <c r="D30" s="300"/>
      <c r="E30" s="307"/>
      <c r="F30" s="308" t="s">
        <v>141</v>
      </c>
      <c r="G30" s="239">
        <f>SUM(H30:K30,L30)</f>
        <v>600</v>
      </c>
      <c r="H30" s="247"/>
      <c r="I30" s="241"/>
      <c r="J30" s="241"/>
      <c r="K30" s="242"/>
      <c r="L30" s="243">
        <f>SUM(M30,N30:X30)</f>
        <v>600</v>
      </c>
      <c r="M30" s="241"/>
      <c r="N30" s="241"/>
      <c r="O30" s="241"/>
      <c r="P30" s="241"/>
      <c r="Q30" s="241"/>
      <c r="R30" s="241"/>
      <c r="S30" s="241">
        <v>600</v>
      </c>
      <c r="T30" s="241"/>
      <c r="U30" s="241"/>
      <c r="V30" s="241"/>
      <c r="W30" s="241"/>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f>IF(AND(NOT(COUNTA(D33:E33)),(NOT(COUNTA(H33:K33))),(NOT(COUNTA(M33:X33)))),"",VLOOKUP($D$7,Info_County_Code,2,FALSE))</f>
        <v>3</v>
      </c>
      <c r="D33" s="300"/>
      <c r="E33" s="307"/>
      <c r="F33" s="308" t="s">
        <v>144</v>
      </c>
      <c r="G33" s="239">
        <f>SUM(H33:K33,L33)</f>
        <v>22000</v>
      </c>
      <c r="H33" s="247"/>
      <c r="I33" s="241"/>
      <c r="J33" s="241"/>
      <c r="K33" s="242"/>
      <c r="L33" s="243">
        <f>SUM(M33,N33:X33)</f>
        <v>22000</v>
      </c>
      <c r="M33" s="241"/>
      <c r="N33" s="241"/>
      <c r="O33" s="241"/>
      <c r="P33" s="241"/>
      <c r="Q33" s="241"/>
      <c r="R33" s="241"/>
      <c r="S33" s="241">
        <v>752</v>
      </c>
      <c r="T33" s="241"/>
      <c r="U33" s="241"/>
      <c r="V33" s="241"/>
      <c r="W33" s="241">
        <v>21248</v>
      </c>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C10" zoomScale="70" zoomScaleNormal="70" zoomScaleSheetLayoutView="40" workbookViewId="0">
      <selection activeCell="W30" sqref="W30"/>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73" t="s">
        <v>332</v>
      </c>
      <c r="C1" s="473"/>
      <c r="D1" s="473"/>
    </row>
    <row r="2" spans="2:23" x14ac:dyDescent="0.2">
      <c r="B2" s="208"/>
      <c r="C2" s="208"/>
      <c r="D2" s="208"/>
    </row>
    <row r="3" spans="2:23" ht="18" x14ac:dyDescent="0.2">
      <c r="B3" s="405" t="s">
        <v>374</v>
      </c>
      <c r="C3" s="1"/>
      <c r="D3" s="1"/>
      <c r="E3" s="1"/>
      <c r="F3" s="1"/>
      <c r="G3" s="1"/>
      <c r="H3" s="1"/>
    </row>
    <row r="4" spans="2:23" ht="18" x14ac:dyDescent="0.2">
      <c r="B4" s="405" t="s">
        <v>0</v>
      </c>
      <c r="C4" s="1"/>
      <c r="D4" s="1"/>
      <c r="E4" s="1"/>
      <c r="F4" s="1"/>
      <c r="G4" s="1"/>
      <c r="H4" s="1"/>
    </row>
    <row r="5" spans="2:23" ht="18" x14ac:dyDescent="0.2">
      <c r="B5" s="405"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Amador</v>
      </c>
      <c r="E7" s="62"/>
      <c r="F7" s="205" t="s">
        <v>3</v>
      </c>
      <c r="G7" s="227">
        <f>IF(ISBLANK('1. Information'!D5),"",'1. Information'!D5)</f>
        <v>43202</v>
      </c>
    </row>
    <row r="8" spans="2:23" ht="15.75" x14ac:dyDescent="0.25">
      <c r="C8" s="7"/>
      <c r="E8" s="7"/>
      <c r="F8" s="62"/>
      <c r="G8" s="7"/>
      <c r="H8" s="229"/>
    </row>
    <row r="9" spans="2:23" ht="18.75" thickBot="1" x14ac:dyDescent="0.3">
      <c r="B9" s="406"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69" t="s">
        <v>304</v>
      </c>
      <c r="H12" s="464"/>
      <c r="I12" s="464"/>
      <c r="J12" s="470"/>
      <c r="K12" s="478" t="s">
        <v>60</v>
      </c>
      <c r="L12" s="479"/>
      <c r="M12" s="479"/>
      <c r="N12" s="479"/>
      <c r="O12" s="479"/>
      <c r="P12" s="479"/>
      <c r="Q12" s="479"/>
      <c r="R12" s="479"/>
      <c r="S12" s="479"/>
      <c r="T12" s="479"/>
      <c r="U12" s="479"/>
      <c r="V12" s="479"/>
      <c r="W12" s="479"/>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1" t="s">
        <v>246</v>
      </c>
      <c r="D14" s="471"/>
      <c r="E14" s="471"/>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1" t="s">
        <v>245</v>
      </c>
      <c r="D15" s="471"/>
      <c r="E15" s="471"/>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1" t="s">
        <v>159</v>
      </c>
      <c r="D16" s="471"/>
      <c r="E16" s="471"/>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1" t="s">
        <v>158</v>
      </c>
      <c r="D17" s="471"/>
      <c r="E17" s="471"/>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1" t="s">
        <v>340</v>
      </c>
      <c r="D18" s="471"/>
      <c r="E18" s="471"/>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15.75" x14ac:dyDescent="0.25">
      <c r="B19" s="218">
        <v>6</v>
      </c>
      <c r="C19" s="471" t="s">
        <v>341</v>
      </c>
      <c r="D19" s="471"/>
      <c r="E19" s="471"/>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71" t="s">
        <v>230</v>
      </c>
      <c r="D20" s="471"/>
      <c r="E20" s="471"/>
      <c r="F20" s="239">
        <f t="shared" si="0"/>
        <v>104544</v>
      </c>
      <c r="G20" s="248">
        <f>SUM(H29:H48)</f>
        <v>0</v>
      </c>
      <c r="H20" s="249">
        <f>SUM(I29:I48)</f>
        <v>0</v>
      </c>
      <c r="I20" s="249">
        <f>SUM(J29:J48)</f>
        <v>0</v>
      </c>
      <c r="J20" s="250">
        <f>SUM(K29:K48)</f>
        <v>0</v>
      </c>
      <c r="K20" s="245">
        <f t="shared" si="1"/>
        <v>104544</v>
      </c>
      <c r="L20" s="249">
        <f t="shared" ref="L20:W20" si="2">SUM(M29:M48)</f>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104544</v>
      </c>
      <c r="W20" s="249">
        <f t="shared" si="2"/>
        <v>0</v>
      </c>
    </row>
    <row r="21" spans="2:24" ht="30.95" customHeight="1" x14ac:dyDescent="0.25">
      <c r="B21" s="218">
        <v>8</v>
      </c>
      <c r="C21" s="468" t="s">
        <v>38</v>
      </c>
      <c r="D21" s="468"/>
      <c r="E21" s="468"/>
      <c r="F21" s="109">
        <f t="shared" ref="F21:W21" si="3">SUM(F14:F20)</f>
        <v>104544</v>
      </c>
      <c r="G21" s="107">
        <f>SUM(G14:G20)</f>
        <v>0</v>
      </c>
      <c r="H21" s="51">
        <f t="shared" si="3"/>
        <v>0</v>
      </c>
      <c r="I21" s="51">
        <f t="shared" si="3"/>
        <v>0</v>
      </c>
      <c r="J21" s="109">
        <f t="shared" si="3"/>
        <v>0</v>
      </c>
      <c r="K21" s="107">
        <f t="shared" si="3"/>
        <v>104544</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0</v>
      </c>
      <c r="V21" s="51">
        <f t="shared" si="3"/>
        <v>104544</v>
      </c>
      <c r="W21" s="51">
        <f t="shared" si="3"/>
        <v>0</v>
      </c>
    </row>
    <row r="22" spans="2:24" ht="30.95" customHeight="1" x14ac:dyDescent="0.25">
      <c r="B22" s="218">
        <v>9</v>
      </c>
      <c r="C22" s="495" t="s">
        <v>317</v>
      </c>
      <c r="D22" s="495"/>
      <c r="E22" s="495"/>
      <c r="F22" s="109"/>
      <c r="G22" s="107"/>
      <c r="H22" s="51"/>
      <c r="I22" s="51"/>
      <c r="J22" s="109"/>
      <c r="K22" s="107">
        <f>SUM(L22,M22:W22)</f>
        <v>331810</v>
      </c>
      <c r="L22" s="51">
        <f>'2. Component Summary'!H27+'2. Component Summary'!H32</f>
        <v>2011</v>
      </c>
      <c r="M22" s="51">
        <f>'2. Component Summary'!H30+'2. Component Summary'!H31</f>
        <v>0</v>
      </c>
      <c r="N22" s="51">
        <f>'2. Component Summary'!H26</f>
        <v>0</v>
      </c>
      <c r="O22" s="51">
        <f>'2. Component Summary'!H25</f>
        <v>0</v>
      </c>
      <c r="P22" s="51">
        <f>'2. Component Summary'!H24</f>
        <v>0</v>
      </c>
      <c r="Q22" s="51">
        <f>'2. Component Summary'!H23</f>
        <v>0</v>
      </c>
      <c r="R22" s="51">
        <f>'2. Component Summary'!H22</f>
        <v>3031</v>
      </c>
      <c r="S22" s="51">
        <f>'2. Component Summary'!H21</f>
        <v>0</v>
      </c>
      <c r="T22" s="51">
        <f>'2. Component Summary'!H20</f>
        <v>0</v>
      </c>
      <c r="U22" s="51">
        <f>'2. Component Summary'!H19</f>
        <v>188500</v>
      </c>
      <c r="V22" s="51">
        <f>'2. Component Summary'!H18</f>
        <v>138268</v>
      </c>
      <c r="W22" s="51">
        <f>'2. Component Summary'!H17</f>
        <v>0</v>
      </c>
    </row>
    <row r="23" spans="2:24" s="216" customFormat="1" x14ac:dyDescent="0.2"/>
    <row r="24" spans="2:24" ht="18.75" thickBot="1" x14ac:dyDescent="0.3">
      <c r="B24" s="412"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79" t="s">
        <v>318</v>
      </c>
      <c r="D27" s="479"/>
      <c r="E27" s="479"/>
      <c r="F27" s="479"/>
      <c r="G27" s="512"/>
      <c r="H27" s="518" t="s">
        <v>304</v>
      </c>
      <c r="I27" s="505"/>
      <c r="J27" s="505"/>
      <c r="K27" s="519"/>
      <c r="L27" s="518" t="s">
        <v>305</v>
      </c>
      <c r="M27" s="505"/>
      <c r="N27" s="505"/>
      <c r="O27" s="505"/>
      <c r="P27" s="505"/>
      <c r="Q27" s="505"/>
      <c r="R27" s="505"/>
      <c r="S27" s="505"/>
      <c r="T27" s="505"/>
      <c r="U27" s="505"/>
      <c r="V27" s="505"/>
      <c r="W27" s="505"/>
      <c r="X27" s="505"/>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3</v>
      </c>
      <c r="D29" s="457" t="s">
        <v>444</v>
      </c>
      <c r="E29" s="225"/>
      <c r="F29" s="261" t="s">
        <v>232</v>
      </c>
      <c r="G29" s="263">
        <f t="shared" ref="G29:G48" si="5">SUM(H29:K29,L29)</f>
        <v>104544</v>
      </c>
      <c r="H29" s="264"/>
      <c r="I29" s="244"/>
      <c r="J29" s="244"/>
      <c r="K29" s="265"/>
      <c r="L29" s="243">
        <f>SUM(M29,N29:X29)</f>
        <v>104544</v>
      </c>
      <c r="M29" s="244"/>
      <c r="N29" s="244"/>
      <c r="O29" s="244"/>
      <c r="P29" s="244"/>
      <c r="Q29" s="244"/>
      <c r="R29" s="244"/>
      <c r="S29" s="244"/>
      <c r="T29" s="244"/>
      <c r="U29" s="244"/>
      <c r="V29" s="244"/>
      <c r="W29" s="244">
        <v>104544</v>
      </c>
      <c r="X29" s="244"/>
    </row>
    <row r="30" spans="2:24" x14ac:dyDescent="0.2">
      <c r="B30" s="218">
        <v>2</v>
      </c>
      <c r="C30" s="287" t="str">
        <f t="shared" si="4"/>
        <v/>
      </c>
      <c r="D30" s="261"/>
      <c r="E30" s="261"/>
      <c r="F30" s="261"/>
      <c r="G30" s="263">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topLeftCell="E1" zoomScale="70" zoomScaleNormal="70" workbookViewId="0">
      <selection activeCell="N15" sqref="N15"/>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3" t="s">
        <v>332</v>
      </c>
      <c r="C1" s="473"/>
      <c r="D1" s="473"/>
    </row>
    <row r="2" spans="2:25" x14ac:dyDescent="0.2">
      <c r="B2" s="208"/>
      <c r="C2" s="208"/>
      <c r="D2" s="208"/>
    </row>
    <row r="3" spans="2:25" ht="20.25" customHeight="1" x14ac:dyDescent="0.2">
      <c r="B3" s="405" t="s">
        <v>375</v>
      </c>
      <c r="C3" s="189"/>
      <c r="D3" s="189"/>
      <c r="E3" s="189"/>
      <c r="F3" s="189"/>
      <c r="G3" s="189"/>
      <c r="H3" s="189"/>
    </row>
    <row r="4" spans="2:25" ht="18" x14ac:dyDescent="0.2">
      <c r="B4" s="405" t="s">
        <v>0</v>
      </c>
      <c r="C4" s="1"/>
      <c r="D4" s="1"/>
      <c r="E4" s="1"/>
      <c r="F4" s="1"/>
      <c r="G4" s="1"/>
      <c r="H4" s="1"/>
    </row>
    <row r="5" spans="2:25" ht="18" x14ac:dyDescent="0.2">
      <c r="B5" s="405" t="s">
        <v>376</v>
      </c>
      <c r="C5" s="1"/>
      <c r="D5" s="1"/>
      <c r="E5" s="1"/>
      <c r="F5" s="1"/>
      <c r="G5" s="1"/>
      <c r="H5" s="1"/>
    </row>
    <row r="6" spans="2:25" ht="15.75" x14ac:dyDescent="0.2">
      <c r="D6" s="166"/>
      <c r="E6" s="166"/>
      <c r="F6" s="166"/>
      <c r="G6" s="166"/>
      <c r="H6" s="166"/>
    </row>
    <row r="7" spans="2:25" ht="15.75" x14ac:dyDescent="0.25">
      <c r="B7" s="464" t="s">
        <v>2</v>
      </c>
      <c r="C7" s="464"/>
      <c r="D7" s="54" t="str">
        <f>IF(ISBLANK('1. Information'!D6),"",'1. Information'!D6)</f>
        <v>Amador</v>
      </c>
      <c r="F7" s="204" t="s">
        <v>3</v>
      </c>
      <c r="G7" s="227">
        <f>IF(ISBLANK('1. Information'!D5),"",'1. Information'!D5)</f>
        <v>43202</v>
      </c>
    </row>
    <row r="8" spans="2:25" ht="15.75" x14ac:dyDescent="0.25">
      <c r="B8" s="15"/>
      <c r="C8" s="15"/>
      <c r="D8" s="15"/>
      <c r="G8" s="15"/>
      <c r="H8" s="310"/>
    </row>
    <row r="9" spans="2:25" ht="18.75" thickBot="1" x14ac:dyDescent="0.3">
      <c r="B9" s="406"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79" t="s">
        <v>319</v>
      </c>
      <c r="D12" s="479"/>
      <c r="E12" s="512"/>
      <c r="F12" s="475" t="s">
        <v>62</v>
      </c>
      <c r="G12" s="476"/>
      <c r="H12" s="476"/>
      <c r="I12" s="477"/>
      <c r="J12" s="478" t="s">
        <v>60</v>
      </c>
      <c r="K12" s="479"/>
      <c r="L12" s="479"/>
      <c r="M12" s="479"/>
      <c r="N12" s="479"/>
      <c r="O12" s="479"/>
      <c r="P12" s="479"/>
      <c r="Q12" s="479"/>
      <c r="R12" s="479"/>
      <c r="S12" s="479"/>
      <c r="T12" s="479"/>
      <c r="U12" s="479"/>
      <c r="V12" s="479"/>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f>IF(AND(NOT(COUNTA(F16:I16)),(NOT(COUNTA(L16:V16)))),"",VLOOKUP($D$7,Info_County_Code,2,FALSE))</f>
        <v>3</v>
      </c>
      <c r="D16" s="191" t="s">
        <v>157</v>
      </c>
      <c r="E16" s="239">
        <f>SUM(F16:I16,J16)</f>
        <v>46717</v>
      </c>
      <c r="F16" s="247"/>
      <c r="G16" s="241"/>
      <c r="H16" s="241"/>
      <c r="I16" s="242"/>
      <c r="J16" s="243">
        <f>SUM(K16,L16:V16)</f>
        <v>46717</v>
      </c>
      <c r="K16" s="241"/>
      <c r="L16" s="241"/>
      <c r="M16" s="241">
        <v>46717</v>
      </c>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topLeftCell="B1" zoomScale="85" zoomScaleNormal="85" workbookViewId="0">
      <selection activeCell="E36" sqref="E36"/>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405" t="s">
        <v>375</v>
      </c>
      <c r="C3" s="1"/>
      <c r="D3" s="1"/>
      <c r="E3" s="1"/>
      <c r="F3" s="1"/>
    </row>
    <row r="4" spans="2:9" ht="18" x14ac:dyDescent="0.2">
      <c r="B4" s="405"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64" t="s">
        <v>2</v>
      </c>
      <c r="C7" s="464"/>
      <c r="D7" s="54" t="str">
        <f>IF(ISBLANK('1. Information'!D6),"",'1. Information'!D6)</f>
        <v>Amador</v>
      </c>
      <c r="E7" s="7"/>
      <c r="F7" s="210" t="s">
        <v>233</v>
      </c>
      <c r="G7" s="227">
        <f>IF(ISBLANK('1. Information'!D5),"",'1. Information'!D5)</f>
        <v>43202</v>
      </c>
    </row>
    <row r="8" spans="2:9" ht="15.75" x14ac:dyDescent="0.25">
      <c r="B8" s="15"/>
      <c r="C8" s="15"/>
      <c r="D8" s="15"/>
      <c r="E8" s="7"/>
      <c r="F8" s="193"/>
      <c r="G8" s="229"/>
    </row>
    <row r="9" spans="2:9" ht="18.75" thickBot="1" x14ac:dyDescent="0.3">
      <c r="B9" s="406"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f t="shared" ref="C13:C22" si="0">IF(NOT(COUNTA(D13:G13)),"",VLOOKUP($D$7,Info_County_Code,2,FALSE))</f>
        <v>3</v>
      </c>
      <c r="D13" s="318" t="s">
        <v>70</v>
      </c>
      <c r="E13" s="288" t="s">
        <v>52</v>
      </c>
      <c r="F13" s="319">
        <v>-8643</v>
      </c>
      <c r="G13" s="458" t="s">
        <v>445</v>
      </c>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43">
        <v>11</v>
      </c>
      <c r="C23" s="260" t="str">
        <f t="shared" ref="C23:C42" si="1">IF(NOT(COUNTA(D23:G23)),"",VLOOKUP($D$7,Info_County_Code,2,FALSE))</f>
        <v/>
      </c>
      <c r="D23" s="318"/>
      <c r="E23" s="288"/>
      <c r="F23" s="319"/>
      <c r="G23" s="320"/>
    </row>
    <row r="24" spans="2:7" x14ac:dyDescent="0.2">
      <c r="B24" s="443">
        <v>12</v>
      </c>
      <c r="C24" s="260" t="str">
        <f t="shared" si="1"/>
        <v/>
      </c>
      <c r="D24" s="318"/>
      <c r="E24" s="288"/>
      <c r="F24" s="319"/>
      <c r="G24" s="320"/>
    </row>
    <row r="25" spans="2:7" x14ac:dyDescent="0.2">
      <c r="B25" s="443">
        <v>13</v>
      </c>
      <c r="C25" s="260" t="str">
        <f t="shared" si="1"/>
        <v/>
      </c>
      <c r="D25" s="318"/>
      <c r="E25" s="288"/>
      <c r="F25" s="319"/>
      <c r="G25" s="320"/>
    </row>
    <row r="26" spans="2:7" x14ac:dyDescent="0.2">
      <c r="B26" s="443">
        <v>14</v>
      </c>
      <c r="C26" s="260" t="str">
        <f t="shared" si="1"/>
        <v/>
      </c>
      <c r="D26" s="318"/>
      <c r="E26" s="288"/>
      <c r="F26" s="319"/>
      <c r="G26" s="320"/>
    </row>
    <row r="27" spans="2:7" x14ac:dyDescent="0.2">
      <c r="B27" s="443">
        <v>15</v>
      </c>
      <c r="C27" s="260" t="str">
        <f t="shared" si="1"/>
        <v/>
      </c>
      <c r="D27" s="318"/>
      <c r="E27" s="288"/>
      <c r="F27" s="321"/>
      <c r="G27" s="320"/>
    </row>
    <row r="28" spans="2:7" x14ac:dyDescent="0.2">
      <c r="B28" s="443">
        <v>16</v>
      </c>
      <c r="C28" s="260" t="str">
        <f t="shared" si="1"/>
        <v/>
      </c>
      <c r="D28" s="318"/>
      <c r="E28" s="288"/>
      <c r="F28" s="321"/>
      <c r="G28" s="320"/>
    </row>
    <row r="29" spans="2:7" x14ac:dyDescent="0.2">
      <c r="B29" s="443">
        <v>17</v>
      </c>
      <c r="C29" s="260" t="str">
        <f t="shared" si="1"/>
        <v/>
      </c>
      <c r="D29" s="318"/>
      <c r="E29" s="288"/>
      <c r="F29" s="321"/>
      <c r="G29" s="320"/>
    </row>
    <row r="30" spans="2:7" x14ac:dyDescent="0.2">
      <c r="B30" s="443">
        <v>18</v>
      </c>
      <c r="C30" s="260" t="str">
        <f t="shared" si="1"/>
        <v/>
      </c>
      <c r="D30" s="318"/>
      <c r="E30" s="288"/>
      <c r="F30" s="321"/>
      <c r="G30" s="320"/>
    </row>
    <row r="31" spans="2:7" x14ac:dyDescent="0.2">
      <c r="B31" s="443">
        <v>19</v>
      </c>
      <c r="C31" s="260" t="str">
        <f t="shared" si="1"/>
        <v/>
      </c>
      <c r="D31" s="318"/>
      <c r="E31" s="288"/>
      <c r="F31" s="321"/>
      <c r="G31" s="320"/>
    </row>
    <row r="32" spans="2:7" x14ac:dyDescent="0.2">
      <c r="B32" s="443">
        <v>20</v>
      </c>
      <c r="C32" s="260" t="str">
        <f t="shared" si="1"/>
        <v/>
      </c>
      <c r="D32" s="318"/>
      <c r="E32" s="288"/>
      <c r="F32" s="321"/>
      <c r="G32" s="320"/>
    </row>
    <row r="33" spans="2:7" x14ac:dyDescent="0.2">
      <c r="B33" s="443">
        <v>21</v>
      </c>
      <c r="C33" s="260" t="str">
        <f t="shared" si="1"/>
        <v/>
      </c>
      <c r="D33" s="318"/>
      <c r="E33" s="288"/>
      <c r="F33" s="319"/>
      <c r="G33" s="320"/>
    </row>
    <row r="34" spans="2:7" x14ac:dyDescent="0.2">
      <c r="B34" s="443">
        <v>22</v>
      </c>
      <c r="C34" s="260" t="str">
        <f t="shared" si="1"/>
        <v/>
      </c>
      <c r="D34" s="318"/>
      <c r="E34" s="288"/>
      <c r="F34" s="319"/>
      <c r="G34" s="320"/>
    </row>
    <row r="35" spans="2:7" x14ac:dyDescent="0.2">
      <c r="B35" s="443">
        <v>23</v>
      </c>
      <c r="C35" s="260" t="str">
        <f t="shared" si="1"/>
        <v/>
      </c>
      <c r="D35" s="318"/>
      <c r="E35" s="288"/>
      <c r="F35" s="319"/>
      <c r="G35" s="320"/>
    </row>
    <row r="36" spans="2:7" x14ac:dyDescent="0.2">
      <c r="B36" s="443">
        <v>24</v>
      </c>
      <c r="C36" s="260" t="str">
        <f t="shared" si="1"/>
        <v/>
      </c>
      <c r="D36" s="318"/>
      <c r="E36" s="288"/>
      <c r="F36" s="319"/>
      <c r="G36" s="320"/>
    </row>
    <row r="37" spans="2:7" x14ac:dyDescent="0.2">
      <c r="B37" s="443">
        <v>25</v>
      </c>
      <c r="C37" s="260" t="str">
        <f t="shared" si="1"/>
        <v/>
      </c>
      <c r="D37" s="318"/>
      <c r="E37" s="288"/>
      <c r="F37" s="321"/>
      <c r="G37" s="320"/>
    </row>
    <row r="38" spans="2:7" x14ac:dyDescent="0.2">
      <c r="B38" s="443">
        <v>26</v>
      </c>
      <c r="C38" s="260" t="str">
        <f t="shared" si="1"/>
        <v/>
      </c>
      <c r="D38" s="318"/>
      <c r="E38" s="288"/>
      <c r="F38" s="321"/>
      <c r="G38" s="320"/>
    </row>
    <row r="39" spans="2:7" x14ac:dyDescent="0.2">
      <c r="B39" s="443">
        <v>27</v>
      </c>
      <c r="C39" s="260" t="str">
        <f t="shared" si="1"/>
        <v/>
      </c>
      <c r="D39" s="318"/>
      <c r="E39" s="288"/>
      <c r="F39" s="321"/>
      <c r="G39" s="320"/>
    </row>
    <row r="40" spans="2:7" x14ac:dyDescent="0.2">
      <c r="B40" s="443">
        <v>28</v>
      </c>
      <c r="C40" s="260" t="str">
        <f t="shared" si="1"/>
        <v/>
      </c>
      <c r="D40" s="318"/>
      <c r="E40" s="288"/>
      <c r="F40" s="321"/>
      <c r="G40" s="320"/>
    </row>
    <row r="41" spans="2:7" x14ac:dyDescent="0.2">
      <c r="B41" s="443">
        <v>29</v>
      </c>
      <c r="C41" s="260" t="str">
        <f t="shared" si="1"/>
        <v/>
      </c>
      <c r="D41" s="318"/>
      <c r="E41" s="288"/>
      <c r="F41" s="321"/>
      <c r="G41" s="320"/>
    </row>
    <row r="42" spans="2:7" x14ac:dyDescent="0.2">
      <c r="B42" s="443">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407"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43">
        <v>4</v>
      </c>
      <c r="C51" s="326" t="str">
        <f t="shared" si="2"/>
        <v/>
      </c>
      <c r="D51" s="327" t="s">
        <v>54</v>
      </c>
      <c r="E51" s="288"/>
      <c r="F51" s="319"/>
      <c r="G51" s="320"/>
    </row>
    <row r="52" spans="2:7" x14ac:dyDescent="0.2">
      <c r="B52" s="443">
        <v>5</v>
      </c>
      <c r="C52" s="326" t="str">
        <f t="shared" si="2"/>
        <v/>
      </c>
      <c r="D52" s="327" t="s">
        <v>54</v>
      </c>
      <c r="E52" s="288"/>
      <c r="F52" s="319"/>
      <c r="G52" s="320"/>
    </row>
    <row r="53" spans="2:7" x14ac:dyDescent="0.2">
      <c r="B53" s="443">
        <v>6</v>
      </c>
      <c r="C53" s="326" t="str">
        <f t="shared" si="2"/>
        <v/>
      </c>
      <c r="D53" s="327" t="s">
        <v>54</v>
      </c>
      <c r="E53" s="288"/>
      <c r="F53" s="319"/>
      <c r="G53" s="320"/>
    </row>
    <row r="54" spans="2:7" x14ac:dyDescent="0.2">
      <c r="B54" s="443">
        <v>7</v>
      </c>
      <c r="C54" s="326" t="str">
        <f t="shared" si="2"/>
        <v/>
      </c>
      <c r="D54" s="327" t="s">
        <v>54</v>
      </c>
      <c r="E54" s="288"/>
      <c r="F54" s="319"/>
      <c r="G54" s="320"/>
    </row>
    <row r="55" spans="2:7" x14ac:dyDescent="0.2">
      <c r="B55" s="443">
        <v>8</v>
      </c>
      <c r="C55" s="326" t="str">
        <f t="shared" si="2"/>
        <v/>
      </c>
      <c r="D55" s="327" t="s">
        <v>54</v>
      </c>
      <c r="E55" s="288"/>
      <c r="F55" s="319"/>
      <c r="G55" s="320"/>
    </row>
    <row r="56" spans="2:7" x14ac:dyDescent="0.2">
      <c r="B56" s="443">
        <v>9</v>
      </c>
      <c r="C56" s="326" t="str">
        <f t="shared" si="2"/>
        <v/>
      </c>
      <c r="D56" s="327" t="s">
        <v>54</v>
      </c>
      <c r="E56" s="288"/>
      <c r="F56" s="319"/>
      <c r="G56" s="320"/>
    </row>
    <row r="57" spans="2:7" x14ac:dyDescent="0.2">
      <c r="B57" s="443">
        <v>10</v>
      </c>
      <c r="C57" s="326" t="str">
        <f t="shared" si="2"/>
        <v/>
      </c>
      <c r="D57" s="327" t="s">
        <v>54</v>
      </c>
      <c r="E57" s="288"/>
      <c r="F57" s="319"/>
      <c r="G57" s="320"/>
    </row>
    <row r="58" spans="2:7" x14ac:dyDescent="0.2">
      <c r="B58" s="443">
        <v>11</v>
      </c>
      <c r="C58" s="326" t="str">
        <f t="shared" si="2"/>
        <v/>
      </c>
      <c r="D58" s="327" t="s">
        <v>54</v>
      </c>
      <c r="E58" s="288"/>
      <c r="F58" s="319"/>
      <c r="G58" s="320"/>
    </row>
    <row r="59" spans="2:7" x14ac:dyDescent="0.2">
      <c r="B59" s="443">
        <v>12</v>
      </c>
      <c r="C59" s="326" t="str">
        <f t="shared" si="2"/>
        <v/>
      </c>
      <c r="D59" s="327" t="s">
        <v>54</v>
      </c>
      <c r="E59" s="288"/>
      <c r="F59" s="319"/>
      <c r="G59" s="320"/>
    </row>
    <row r="60" spans="2:7" x14ac:dyDescent="0.2">
      <c r="B60" s="443">
        <v>13</v>
      </c>
      <c r="C60" s="326" t="str">
        <f t="shared" si="2"/>
        <v/>
      </c>
      <c r="D60" s="327" t="s">
        <v>54</v>
      </c>
      <c r="E60" s="288"/>
      <c r="F60" s="319"/>
      <c r="G60" s="320"/>
    </row>
    <row r="61" spans="2:7" x14ac:dyDescent="0.2">
      <c r="B61" s="443">
        <v>14</v>
      </c>
      <c r="C61" s="326" t="str">
        <f t="shared" si="2"/>
        <v/>
      </c>
      <c r="D61" s="327" t="s">
        <v>54</v>
      </c>
      <c r="E61" s="288"/>
      <c r="F61" s="319"/>
      <c r="G61" s="320"/>
    </row>
    <row r="62" spans="2:7" x14ac:dyDescent="0.2">
      <c r="B62" s="443">
        <v>15</v>
      </c>
      <c r="C62" s="326" t="str">
        <f t="shared" si="2"/>
        <v/>
      </c>
      <c r="D62" s="327" t="s">
        <v>54</v>
      </c>
      <c r="E62" s="288"/>
      <c r="F62" s="319"/>
      <c r="G62" s="320"/>
    </row>
    <row r="63" spans="2:7" x14ac:dyDescent="0.2">
      <c r="B63" s="443">
        <v>16</v>
      </c>
      <c r="C63" s="326" t="str">
        <f t="shared" si="2"/>
        <v/>
      </c>
      <c r="D63" s="327" t="s">
        <v>54</v>
      </c>
      <c r="E63" s="288"/>
      <c r="F63" s="319"/>
      <c r="G63" s="320"/>
    </row>
    <row r="64" spans="2:7" x14ac:dyDescent="0.2">
      <c r="B64" s="443">
        <v>17</v>
      </c>
      <c r="C64" s="326" t="str">
        <f t="shared" si="2"/>
        <v/>
      </c>
      <c r="D64" s="327" t="s">
        <v>54</v>
      </c>
      <c r="E64" s="288"/>
      <c r="F64" s="319"/>
      <c r="G64" s="320"/>
    </row>
    <row r="65" spans="2:7" x14ac:dyDescent="0.2">
      <c r="B65" s="443">
        <v>18</v>
      </c>
      <c r="C65" s="326" t="str">
        <f t="shared" si="2"/>
        <v/>
      </c>
      <c r="D65" s="327" t="s">
        <v>54</v>
      </c>
      <c r="E65" s="288"/>
      <c r="F65" s="319"/>
      <c r="G65" s="320"/>
    </row>
    <row r="66" spans="2:7" x14ac:dyDescent="0.2">
      <c r="B66" s="443">
        <v>19</v>
      </c>
      <c r="C66" s="326" t="str">
        <f t="shared" si="2"/>
        <v/>
      </c>
      <c r="D66" s="327" t="s">
        <v>54</v>
      </c>
      <c r="E66" s="288"/>
      <c r="F66" s="319"/>
      <c r="G66" s="320"/>
    </row>
    <row r="67" spans="2:7" x14ac:dyDescent="0.2">
      <c r="B67" s="443">
        <v>20</v>
      </c>
      <c r="C67" s="326" t="str">
        <f t="shared" si="2"/>
        <v/>
      </c>
      <c r="D67" s="327" t="s">
        <v>54</v>
      </c>
      <c r="E67" s="288"/>
      <c r="F67" s="319"/>
      <c r="G67" s="320"/>
    </row>
    <row r="68" spans="2:7" x14ac:dyDescent="0.2">
      <c r="B68" s="443">
        <v>21</v>
      </c>
      <c r="C68" s="326" t="str">
        <f t="shared" si="2"/>
        <v/>
      </c>
      <c r="D68" s="327" t="s">
        <v>54</v>
      </c>
      <c r="E68" s="288"/>
      <c r="F68" s="319"/>
      <c r="G68" s="320"/>
    </row>
    <row r="69" spans="2:7" x14ac:dyDescent="0.2">
      <c r="B69" s="443">
        <v>22</v>
      </c>
      <c r="C69" s="326" t="str">
        <f t="shared" si="2"/>
        <v/>
      </c>
      <c r="D69" s="327" t="s">
        <v>54</v>
      </c>
      <c r="E69" s="288"/>
      <c r="F69" s="319"/>
      <c r="G69" s="320"/>
    </row>
    <row r="70" spans="2:7" x14ac:dyDescent="0.2">
      <c r="B70" s="443">
        <v>23</v>
      </c>
      <c r="C70" s="326" t="str">
        <f t="shared" si="2"/>
        <v/>
      </c>
      <c r="D70" s="327" t="s">
        <v>54</v>
      </c>
      <c r="E70" s="288"/>
      <c r="F70" s="319"/>
      <c r="G70" s="320"/>
    </row>
    <row r="71" spans="2:7" x14ac:dyDescent="0.2">
      <c r="B71" s="443">
        <v>24</v>
      </c>
      <c r="C71" s="326" t="str">
        <f t="shared" si="2"/>
        <v/>
      </c>
      <c r="D71" s="327" t="s">
        <v>54</v>
      </c>
      <c r="E71" s="288"/>
      <c r="F71" s="319"/>
      <c r="G71" s="320"/>
    </row>
    <row r="72" spans="2:7" x14ac:dyDescent="0.2">
      <c r="B72" s="443">
        <v>25</v>
      </c>
      <c r="C72" s="326" t="str">
        <f t="shared" si="2"/>
        <v/>
      </c>
      <c r="D72" s="327" t="s">
        <v>54</v>
      </c>
      <c r="E72" s="288"/>
      <c r="F72" s="319"/>
      <c r="G72" s="320"/>
    </row>
    <row r="73" spans="2:7" x14ac:dyDescent="0.2">
      <c r="B73" s="443">
        <v>26</v>
      </c>
      <c r="C73" s="326" t="str">
        <f t="shared" si="2"/>
        <v/>
      </c>
      <c r="D73" s="327" t="s">
        <v>54</v>
      </c>
      <c r="E73" s="288"/>
      <c r="F73" s="319"/>
      <c r="G73" s="320"/>
    </row>
    <row r="74" spans="2:7" x14ac:dyDescent="0.2">
      <c r="B74" s="443">
        <v>27</v>
      </c>
      <c r="C74" s="326" t="str">
        <f t="shared" si="2"/>
        <v/>
      </c>
      <c r="D74" s="327" t="s">
        <v>54</v>
      </c>
      <c r="E74" s="288"/>
      <c r="F74" s="319"/>
      <c r="G74" s="320"/>
    </row>
    <row r="75" spans="2:7" x14ac:dyDescent="0.2">
      <c r="B75" s="443">
        <v>28</v>
      </c>
      <c r="C75" s="326" t="str">
        <f t="shared" si="2"/>
        <v/>
      </c>
      <c r="D75" s="327" t="s">
        <v>54</v>
      </c>
      <c r="E75" s="288"/>
      <c r="F75" s="319"/>
      <c r="G75" s="320"/>
    </row>
    <row r="76" spans="2:7" x14ac:dyDescent="0.2">
      <c r="B76" s="443">
        <v>29</v>
      </c>
      <c r="C76" s="326" t="str">
        <f t="shared" si="2"/>
        <v/>
      </c>
      <c r="D76" s="327" t="s">
        <v>54</v>
      </c>
      <c r="E76" s="288"/>
      <c r="F76" s="319"/>
      <c r="G76" s="320"/>
    </row>
    <row r="77" spans="2:7" x14ac:dyDescent="0.2">
      <c r="B77" s="443">
        <v>30</v>
      </c>
      <c r="C77" s="326" t="str">
        <f t="shared" si="2"/>
        <v/>
      </c>
      <c r="D77" s="327" t="s">
        <v>54</v>
      </c>
      <c r="E77" s="288"/>
      <c r="F77" s="319"/>
      <c r="G77" s="320"/>
    </row>
    <row r="78" spans="2:7" x14ac:dyDescent="0.2">
      <c r="D78" s="322"/>
      <c r="E78" s="228"/>
    </row>
    <row r="79" spans="2:7" ht="18.75" thickBot="1" x14ac:dyDescent="0.3">
      <c r="B79" s="407"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43">
        <v>4</v>
      </c>
      <c r="C86" s="326" t="str">
        <f t="shared" si="3"/>
        <v/>
      </c>
      <c r="D86" s="327" t="s">
        <v>249</v>
      </c>
      <c r="E86" s="319"/>
      <c r="F86" s="320"/>
    </row>
    <row r="87" spans="2:6" x14ac:dyDescent="0.2">
      <c r="B87" s="443">
        <v>5</v>
      </c>
      <c r="C87" s="326" t="str">
        <f t="shared" si="3"/>
        <v/>
      </c>
      <c r="D87" s="327" t="s">
        <v>249</v>
      </c>
      <c r="E87" s="319"/>
      <c r="F87" s="320"/>
    </row>
    <row r="88" spans="2:6" x14ac:dyDescent="0.2">
      <c r="B88" s="443">
        <v>6</v>
      </c>
      <c r="C88" s="326" t="str">
        <f t="shared" si="3"/>
        <v/>
      </c>
      <c r="D88" s="327" t="s">
        <v>249</v>
      </c>
      <c r="E88" s="319"/>
      <c r="F88" s="320"/>
    </row>
    <row r="89" spans="2:6" x14ac:dyDescent="0.2">
      <c r="B89" s="443">
        <v>7</v>
      </c>
      <c r="C89" s="326" t="str">
        <f t="shared" si="3"/>
        <v/>
      </c>
      <c r="D89" s="327" t="s">
        <v>249</v>
      </c>
      <c r="E89" s="319"/>
      <c r="F89" s="320"/>
    </row>
    <row r="90" spans="2:6" x14ac:dyDescent="0.2">
      <c r="B90" s="443">
        <v>8</v>
      </c>
      <c r="C90" s="326" t="str">
        <f t="shared" si="3"/>
        <v/>
      </c>
      <c r="D90" s="327" t="s">
        <v>249</v>
      </c>
      <c r="E90" s="319"/>
      <c r="F90" s="320"/>
    </row>
    <row r="91" spans="2:6" x14ac:dyDescent="0.2">
      <c r="B91" s="443">
        <v>9</v>
      </c>
      <c r="C91" s="326" t="str">
        <f t="shared" si="3"/>
        <v/>
      </c>
      <c r="D91" s="327" t="s">
        <v>249</v>
      </c>
      <c r="E91" s="319"/>
      <c r="F91" s="320"/>
    </row>
    <row r="92" spans="2:6" x14ac:dyDescent="0.2">
      <c r="B92" s="443">
        <v>10</v>
      </c>
      <c r="C92" s="326" t="str">
        <f t="shared" si="3"/>
        <v/>
      </c>
      <c r="D92" s="327" t="s">
        <v>249</v>
      </c>
      <c r="E92" s="319"/>
      <c r="F92" s="320"/>
    </row>
    <row r="93" spans="2:6" x14ac:dyDescent="0.2">
      <c r="B93" s="443">
        <v>11</v>
      </c>
      <c r="C93" s="326" t="str">
        <f t="shared" si="3"/>
        <v/>
      </c>
      <c r="D93" s="327" t="s">
        <v>249</v>
      </c>
      <c r="E93" s="319"/>
      <c r="F93" s="320"/>
    </row>
    <row r="94" spans="2:6" x14ac:dyDescent="0.2">
      <c r="B94" s="443">
        <v>12</v>
      </c>
      <c r="C94" s="326" t="str">
        <f t="shared" si="3"/>
        <v/>
      </c>
      <c r="D94" s="327" t="s">
        <v>249</v>
      </c>
      <c r="E94" s="319"/>
      <c r="F94" s="320"/>
    </row>
    <row r="95" spans="2:6" x14ac:dyDescent="0.2">
      <c r="B95" s="443">
        <v>13</v>
      </c>
      <c r="C95" s="326" t="str">
        <f t="shared" si="3"/>
        <v/>
      </c>
      <c r="D95" s="327" t="s">
        <v>249</v>
      </c>
      <c r="E95" s="319"/>
      <c r="F95" s="320"/>
    </row>
    <row r="96" spans="2:6" x14ac:dyDescent="0.2">
      <c r="B96" s="443">
        <v>14</v>
      </c>
      <c r="C96" s="326" t="str">
        <f t="shared" si="3"/>
        <v/>
      </c>
      <c r="D96" s="327" t="s">
        <v>249</v>
      </c>
      <c r="E96" s="319"/>
      <c r="F96" s="320"/>
    </row>
    <row r="97" spans="2:6" x14ac:dyDescent="0.2">
      <c r="B97" s="443">
        <v>15</v>
      </c>
      <c r="C97" s="326" t="str">
        <f t="shared" si="3"/>
        <v/>
      </c>
      <c r="D97" s="327" t="s">
        <v>249</v>
      </c>
      <c r="E97" s="319"/>
      <c r="F97" s="320"/>
    </row>
    <row r="98" spans="2:6" x14ac:dyDescent="0.2">
      <c r="B98" s="443">
        <v>16</v>
      </c>
      <c r="C98" s="326" t="str">
        <f t="shared" si="3"/>
        <v/>
      </c>
      <c r="D98" s="327" t="s">
        <v>249</v>
      </c>
      <c r="E98" s="319"/>
      <c r="F98" s="320"/>
    </row>
    <row r="99" spans="2:6" x14ac:dyDescent="0.2">
      <c r="B99" s="443">
        <v>17</v>
      </c>
      <c r="C99" s="326" t="str">
        <f t="shared" si="3"/>
        <v/>
      </c>
      <c r="D99" s="327" t="s">
        <v>249</v>
      </c>
      <c r="E99" s="319"/>
      <c r="F99" s="320"/>
    </row>
    <row r="100" spans="2:6" x14ac:dyDescent="0.2">
      <c r="B100" s="443">
        <v>18</v>
      </c>
      <c r="C100" s="326" t="str">
        <f t="shared" si="3"/>
        <v/>
      </c>
      <c r="D100" s="327" t="s">
        <v>249</v>
      </c>
      <c r="E100" s="319"/>
      <c r="F100" s="320"/>
    </row>
    <row r="101" spans="2:6" x14ac:dyDescent="0.2">
      <c r="B101" s="443">
        <v>19</v>
      </c>
      <c r="C101" s="326" t="str">
        <f t="shared" si="3"/>
        <v/>
      </c>
      <c r="D101" s="327" t="s">
        <v>249</v>
      </c>
      <c r="E101" s="319"/>
      <c r="F101" s="320"/>
    </row>
    <row r="102" spans="2:6" x14ac:dyDescent="0.2">
      <c r="B102" s="443">
        <v>20</v>
      </c>
      <c r="C102" s="326" t="str">
        <f t="shared" si="3"/>
        <v/>
      </c>
      <c r="D102" s="327" t="s">
        <v>249</v>
      </c>
      <c r="E102" s="319"/>
      <c r="F102" s="320"/>
    </row>
    <row r="103" spans="2:6" x14ac:dyDescent="0.2">
      <c r="B103" s="443">
        <v>21</v>
      </c>
      <c r="C103" s="326" t="str">
        <f t="shared" si="3"/>
        <v/>
      </c>
      <c r="D103" s="327" t="s">
        <v>249</v>
      </c>
      <c r="E103" s="319"/>
      <c r="F103" s="320"/>
    </row>
    <row r="104" spans="2:6" x14ac:dyDescent="0.2">
      <c r="B104" s="443">
        <v>22</v>
      </c>
      <c r="C104" s="326" t="str">
        <f t="shared" si="3"/>
        <v/>
      </c>
      <c r="D104" s="327" t="s">
        <v>249</v>
      </c>
      <c r="E104" s="319"/>
      <c r="F104" s="320"/>
    </row>
    <row r="105" spans="2:6" x14ac:dyDescent="0.2">
      <c r="B105" s="443">
        <v>23</v>
      </c>
      <c r="C105" s="326" t="str">
        <f t="shared" si="3"/>
        <v/>
      </c>
      <c r="D105" s="327" t="s">
        <v>249</v>
      </c>
      <c r="E105" s="319"/>
      <c r="F105" s="320"/>
    </row>
    <row r="106" spans="2:6" x14ac:dyDescent="0.2">
      <c r="B106" s="443">
        <v>24</v>
      </c>
      <c r="C106" s="326" t="str">
        <f t="shared" si="3"/>
        <v/>
      </c>
      <c r="D106" s="327" t="s">
        <v>249</v>
      </c>
      <c r="E106" s="319"/>
      <c r="F106" s="320"/>
    </row>
    <row r="107" spans="2:6" x14ac:dyDescent="0.2">
      <c r="B107" s="443">
        <v>25</v>
      </c>
      <c r="C107" s="326" t="str">
        <f t="shared" si="3"/>
        <v/>
      </c>
      <c r="D107" s="327" t="s">
        <v>249</v>
      </c>
      <c r="E107" s="319"/>
      <c r="F107" s="320"/>
    </row>
    <row r="108" spans="2:6" x14ac:dyDescent="0.2">
      <c r="B108" s="443">
        <v>26</v>
      </c>
      <c r="C108" s="326" t="str">
        <f t="shared" si="3"/>
        <v/>
      </c>
      <c r="D108" s="327" t="s">
        <v>249</v>
      </c>
      <c r="E108" s="319"/>
      <c r="F108" s="320"/>
    </row>
    <row r="109" spans="2:6" x14ac:dyDescent="0.2">
      <c r="B109" s="443">
        <v>27</v>
      </c>
      <c r="C109" s="326" t="str">
        <f t="shared" si="3"/>
        <v/>
      </c>
      <c r="D109" s="327" t="s">
        <v>249</v>
      </c>
      <c r="E109" s="319"/>
      <c r="F109" s="320"/>
    </row>
    <row r="110" spans="2:6" x14ac:dyDescent="0.2">
      <c r="B110" s="443">
        <v>28</v>
      </c>
      <c r="C110" s="326" t="str">
        <f t="shared" si="3"/>
        <v/>
      </c>
      <c r="D110" s="327" t="s">
        <v>249</v>
      </c>
      <c r="E110" s="319"/>
      <c r="F110" s="320"/>
    </row>
    <row r="111" spans="2:6" x14ac:dyDescent="0.2">
      <c r="B111" s="443">
        <v>29</v>
      </c>
      <c r="C111" s="326" t="str">
        <f t="shared" si="3"/>
        <v/>
      </c>
      <c r="D111" s="327" t="s">
        <v>249</v>
      </c>
      <c r="E111" s="319"/>
      <c r="F111" s="320"/>
    </row>
    <row r="112" spans="2:6" x14ac:dyDescent="0.2">
      <c r="B112" s="443">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3" t="s">
        <v>332</v>
      </c>
      <c r="C1" s="473"/>
      <c r="D1" s="473"/>
    </row>
    <row r="2" spans="2:9" x14ac:dyDescent="0.2">
      <c r="B2" s="208"/>
      <c r="C2" s="208"/>
      <c r="D2" s="208"/>
    </row>
    <row r="3" spans="2:9" ht="18" x14ac:dyDescent="0.2">
      <c r="B3" s="408" t="s">
        <v>367</v>
      </c>
      <c r="C3" s="165"/>
      <c r="D3" s="165"/>
      <c r="E3" s="165"/>
      <c r="F3" s="165"/>
      <c r="G3" s="165"/>
      <c r="H3" s="165"/>
    </row>
    <row r="4" spans="2:9" ht="18" x14ac:dyDescent="0.2">
      <c r="B4" s="408" t="s">
        <v>0</v>
      </c>
      <c r="C4" s="165"/>
      <c r="D4" s="165"/>
      <c r="E4" s="165"/>
      <c r="F4" s="165"/>
      <c r="G4" s="165"/>
      <c r="H4" s="165"/>
    </row>
    <row r="5" spans="2:9" ht="18" x14ac:dyDescent="0.2">
      <c r="B5" s="413" t="s">
        <v>67</v>
      </c>
      <c r="C5" s="197"/>
      <c r="D5" s="197"/>
      <c r="E5" s="197"/>
      <c r="F5" s="197"/>
      <c r="G5" s="197"/>
      <c r="H5" s="197"/>
    </row>
    <row r="6" spans="2:9" ht="15.75" x14ac:dyDescent="0.2">
      <c r="B6" s="206"/>
      <c r="C6" s="206"/>
      <c r="D6" s="206"/>
      <c r="E6" s="206"/>
      <c r="F6" s="206"/>
      <c r="G6" s="206"/>
      <c r="H6" s="206"/>
    </row>
    <row r="7" spans="2:9" ht="15.75" x14ac:dyDescent="0.25">
      <c r="B7" s="464" t="s">
        <v>2</v>
      </c>
      <c r="C7" s="464"/>
      <c r="D7" s="54" t="str">
        <f>IF(ISBLANK('1. Information'!D6),"",'1. Information'!D6)</f>
        <v>Amador</v>
      </c>
      <c r="F7" s="204" t="s">
        <v>3</v>
      </c>
      <c r="G7" s="88">
        <f>IF(ISBLANK('1. Information'!D5),"",'1. Information'!D5)</f>
        <v>43202</v>
      </c>
      <c r="H7" s="62"/>
    </row>
    <row r="8" spans="2:9" ht="15.75" x14ac:dyDescent="0.25">
      <c r="B8" s="15"/>
      <c r="C8" s="15"/>
      <c r="D8" s="15"/>
      <c r="F8" s="15"/>
      <c r="G8" s="198"/>
      <c r="H8" s="62"/>
    </row>
    <row r="9" spans="2:9" ht="18.75" thickBot="1" x14ac:dyDescent="0.3">
      <c r="B9" s="414"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93"/>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3" t="s">
        <v>332</v>
      </c>
      <c r="B1" s="473"/>
      <c r="C1" s="473"/>
    </row>
    <row r="2" spans="1:6" x14ac:dyDescent="0.2">
      <c r="A2" s="432"/>
      <c r="B2" s="432"/>
      <c r="C2" s="432"/>
    </row>
    <row r="3" spans="1:6" s="226" customFormat="1" ht="18" x14ac:dyDescent="0.2">
      <c r="B3" s="408" t="s">
        <v>367</v>
      </c>
      <c r="C3" s="165"/>
      <c r="D3" s="165"/>
      <c r="E3" s="165"/>
      <c r="F3" s="165"/>
    </row>
    <row r="4" spans="1:6" s="226" customFormat="1" ht="18" x14ac:dyDescent="0.2">
      <c r="B4" s="408" t="s">
        <v>0</v>
      </c>
      <c r="C4" s="165"/>
      <c r="D4" s="165"/>
      <c r="E4" s="165"/>
      <c r="F4" s="165"/>
    </row>
    <row r="5" spans="1:6" s="226" customFormat="1" ht="18" x14ac:dyDescent="0.2">
      <c r="B5" s="413" t="s">
        <v>420</v>
      </c>
      <c r="C5" s="197"/>
      <c r="D5" s="197"/>
      <c r="E5" s="197"/>
      <c r="F5" s="197"/>
    </row>
    <row r="6" spans="1:6" s="226" customFormat="1" ht="18" x14ac:dyDescent="0.2">
      <c r="B6" s="413"/>
      <c r="C6" s="197"/>
      <c r="D6" s="197"/>
      <c r="E6" s="197"/>
      <c r="F6" s="197"/>
    </row>
    <row r="7" spans="1:6" ht="15.75" x14ac:dyDescent="0.25">
      <c r="B7" s="436"/>
      <c r="C7" s="433" t="s">
        <v>420</v>
      </c>
    </row>
    <row r="8" spans="1:6" ht="33.75" customHeight="1" x14ac:dyDescent="0.2">
      <c r="B8" s="437">
        <v>1</v>
      </c>
      <c r="C8" s="434"/>
    </row>
    <row r="9" spans="1:6" ht="33.75" customHeight="1" x14ac:dyDescent="0.2">
      <c r="B9" s="438">
        <v>2</v>
      </c>
      <c r="C9" s="442"/>
    </row>
    <row r="10" spans="1:6" ht="33.75" customHeight="1" x14ac:dyDescent="0.2">
      <c r="B10" s="438">
        <v>3</v>
      </c>
      <c r="C10" s="435"/>
    </row>
    <row r="11" spans="1:6" ht="33.75" customHeight="1" x14ac:dyDescent="0.2">
      <c r="B11" s="437">
        <v>4</v>
      </c>
      <c r="C11" s="435"/>
    </row>
    <row r="12" spans="1:6" ht="33.75" customHeight="1" x14ac:dyDescent="0.2">
      <c r="B12" s="438">
        <v>5</v>
      </c>
      <c r="C12" s="435"/>
    </row>
    <row r="13" spans="1:6" ht="33.75" customHeight="1" x14ac:dyDescent="0.2">
      <c r="B13" s="438">
        <v>6</v>
      </c>
      <c r="C13" s="435"/>
    </row>
    <row r="14" spans="1:6" ht="33.75" customHeight="1" x14ac:dyDescent="0.2">
      <c r="B14" s="437">
        <v>7</v>
      </c>
      <c r="C14" s="435"/>
    </row>
    <row r="15" spans="1:6" ht="33.75" customHeight="1" x14ac:dyDescent="0.2">
      <c r="B15" s="438">
        <v>8</v>
      </c>
      <c r="C15" s="435"/>
    </row>
    <row r="16" spans="1:6" ht="33.75" customHeight="1" x14ac:dyDescent="0.2">
      <c r="B16" s="438">
        <v>9</v>
      </c>
      <c r="C16" s="435"/>
    </row>
    <row r="17" spans="2:3" ht="33.75" customHeight="1" x14ac:dyDescent="0.2">
      <c r="B17" s="437">
        <v>10</v>
      </c>
      <c r="C17" s="435"/>
    </row>
    <row r="18" spans="2:3" ht="33.75" customHeight="1" x14ac:dyDescent="0.2">
      <c r="B18" s="438">
        <v>11</v>
      </c>
      <c r="C18" s="435"/>
    </row>
    <row r="19" spans="2:3" ht="33.75" customHeight="1" x14ac:dyDescent="0.2">
      <c r="B19" s="438">
        <v>12</v>
      </c>
      <c r="C19" s="435"/>
    </row>
    <row r="20" spans="2:3" ht="33.75" customHeight="1" x14ac:dyDescent="0.2">
      <c r="B20" s="437">
        <v>13</v>
      </c>
      <c r="C20" s="435"/>
    </row>
    <row r="21" spans="2:3" ht="33.75" customHeight="1" x14ac:dyDescent="0.2">
      <c r="B21" s="438">
        <v>14</v>
      </c>
      <c r="C21" s="435"/>
    </row>
    <row r="22" spans="2:3" ht="33.75" customHeight="1" x14ac:dyDescent="0.2">
      <c r="B22" s="438">
        <v>15</v>
      </c>
      <c r="C22" s="435"/>
    </row>
    <row r="23" spans="2:3" ht="33.75" customHeight="1" x14ac:dyDescent="0.2">
      <c r="B23" s="437">
        <v>16</v>
      </c>
      <c r="C23" s="435"/>
    </row>
    <row r="24" spans="2:3" ht="33.75" customHeight="1" x14ac:dyDescent="0.2">
      <c r="B24" s="438">
        <v>17</v>
      </c>
      <c r="C24" s="435"/>
    </row>
    <row r="25" spans="2:3" ht="33.75" customHeight="1" x14ac:dyDescent="0.2">
      <c r="B25" s="438">
        <v>18</v>
      </c>
      <c r="C25" s="435"/>
    </row>
    <row r="26" spans="2:3" ht="33.75" customHeight="1" x14ac:dyDescent="0.2">
      <c r="B26" s="437">
        <v>19</v>
      </c>
      <c r="C26" s="435"/>
    </row>
    <row r="27" spans="2:3" ht="33.75" customHeight="1" x14ac:dyDescent="0.2">
      <c r="B27" s="438">
        <v>20</v>
      </c>
      <c r="C27" s="435"/>
    </row>
    <row r="28" spans="2:3" ht="33.75" customHeight="1" x14ac:dyDescent="0.2">
      <c r="B28" s="438">
        <v>21</v>
      </c>
      <c r="C28" s="435"/>
    </row>
    <row r="29" spans="2:3" ht="33.75" customHeight="1" x14ac:dyDescent="0.2">
      <c r="B29" s="437">
        <v>22</v>
      </c>
      <c r="C29" s="435"/>
    </row>
    <row r="30" spans="2:3" ht="33.75" customHeight="1" x14ac:dyDescent="0.2">
      <c r="B30" s="438">
        <v>23</v>
      </c>
      <c r="C30" s="435"/>
    </row>
    <row r="31" spans="2:3" ht="33.75" customHeight="1" x14ac:dyDescent="0.2">
      <c r="B31" s="438">
        <v>24</v>
      </c>
      <c r="C31" s="435"/>
    </row>
    <row r="32" spans="2:3" ht="33.75" customHeight="1" x14ac:dyDescent="0.2">
      <c r="B32" s="437">
        <v>25</v>
      </c>
      <c r="C32" s="435"/>
    </row>
    <row r="33" spans="2:3" ht="33.75" customHeight="1" x14ac:dyDescent="0.2">
      <c r="B33" s="438">
        <v>26</v>
      </c>
      <c r="C33" s="435"/>
    </row>
    <row r="34" spans="2:3" ht="33.75" customHeight="1" x14ac:dyDescent="0.2">
      <c r="B34" s="438">
        <v>27</v>
      </c>
      <c r="C34" s="435"/>
    </row>
    <row r="35" spans="2:3" ht="33.75" customHeight="1" x14ac:dyDescent="0.2">
      <c r="B35" s="437">
        <v>28</v>
      </c>
      <c r="C35" s="435"/>
    </row>
    <row r="36" spans="2:3" ht="33.75" customHeight="1" x14ac:dyDescent="0.2">
      <c r="B36" s="438">
        <v>29</v>
      </c>
      <c r="C36" s="435"/>
    </row>
    <row r="37" spans="2:3" ht="33.75" customHeight="1" x14ac:dyDescent="0.2">
      <c r="B37" s="438">
        <v>30</v>
      </c>
      <c r="C37" s="435"/>
    </row>
    <row r="38" spans="2:3" ht="33.75" customHeight="1" x14ac:dyDescent="0.2">
      <c r="B38" s="437">
        <v>31</v>
      </c>
      <c r="C38" s="435"/>
    </row>
    <row r="39" spans="2:3" ht="33.75" customHeight="1" x14ac:dyDescent="0.2">
      <c r="B39" s="438">
        <v>32</v>
      </c>
      <c r="C39" s="435"/>
    </row>
    <row r="40" spans="2:3" ht="33.75" customHeight="1" x14ac:dyDescent="0.2">
      <c r="B40" s="438">
        <v>33</v>
      </c>
      <c r="C40" s="435"/>
    </row>
    <row r="41" spans="2:3" ht="33.75" customHeight="1" x14ac:dyDescent="0.2">
      <c r="B41" s="437">
        <v>34</v>
      </c>
      <c r="C41" s="435"/>
    </row>
    <row r="42" spans="2:3" ht="33.75" customHeight="1" x14ac:dyDescent="0.2">
      <c r="B42" s="438">
        <v>35</v>
      </c>
      <c r="C42" s="435"/>
    </row>
    <row r="43" spans="2:3" ht="33.75" customHeight="1" x14ac:dyDescent="0.2">
      <c r="B43" s="438">
        <v>36</v>
      </c>
      <c r="C43" s="435"/>
    </row>
    <row r="44" spans="2:3" ht="33.75" customHeight="1" x14ac:dyDescent="0.2">
      <c r="B44" s="437">
        <v>37</v>
      </c>
      <c r="C44" s="435"/>
    </row>
    <row r="45" spans="2:3" ht="33.75" customHeight="1" x14ac:dyDescent="0.2">
      <c r="B45" s="438">
        <v>38</v>
      </c>
      <c r="C45" s="435"/>
    </row>
    <row r="46" spans="2:3" ht="33.75" customHeight="1" x14ac:dyDescent="0.2">
      <c r="B46" s="437">
        <v>39</v>
      </c>
      <c r="C46" s="435"/>
    </row>
    <row r="47" spans="2:3" ht="33.75" customHeight="1" x14ac:dyDescent="0.2">
      <c r="B47" s="438">
        <v>40</v>
      </c>
      <c r="C47" s="442"/>
    </row>
    <row r="50" spans="10:17" hidden="1" x14ac:dyDescent="0.2">
      <c r="Q50" s="439"/>
    </row>
    <row r="61" spans="10:17" hidden="1" x14ac:dyDescent="0.2">
      <c r="J61" s="440"/>
    </row>
    <row r="65" spans="11:14" hidden="1" x14ac:dyDescent="0.2">
      <c r="K65" s="441"/>
    </row>
    <row r="67" spans="11:14" hidden="1" x14ac:dyDescent="0.2">
      <c r="L67" s="439"/>
    </row>
    <row r="68" spans="11:14" hidden="1" x14ac:dyDescent="0.2">
      <c r="N68" s="439"/>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20" t="s">
        <v>224</v>
      </c>
      <c r="B1" s="521"/>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47"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92"/>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401"/>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402"/>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92"/>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zoomScale="80" zoomScaleNormal="80" workbookViewId="0">
      <selection activeCell="A83" sqref="A83:IV83"/>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23" t="s">
        <v>284</v>
      </c>
      <c r="B2" s="523"/>
      <c r="C2" s="523"/>
      <c r="D2" s="523"/>
      <c r="E2" s="523"/>
    </row>
    <row r="3" spans="1:7" ht="14.25" customHeight="1" x14ac:dyDescent="0.25">
      <c r="A3" s="523" t="s">
        <v>285</v>
      </c>
      <c r="B3" s="523"/>
      <c r="C3" s="523"/>
      <c r="D3" s="523"/>
      <c r="E3" s="523"/>
    </row>
    <row r="4" spans="1:7" ht="14.25" customHeight="1" thickBot="1" x14ac:dyDescent="0.3">
      <c r="A4" s="344"/>
      <c r="B4" s="345"/>
      <c r="C4" s="346"/>
      <c r="D4" s="347"/>
    </row>
    <row r="5" spans="1:7" ht="14.25" customHeight="1" x14ac:dyDescent="0.25">
      <c r="A5" s="348" t="s">
        <v>286</v>
      </c>
      <c r="B5" s="522" t="s">
        <v>287</v>
      </c>
      <c r="C5" s="522"/>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91"/>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91"/>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371" t="s">
        <v>136</v>
      </c>
      <c r="B68" s="372">
        <f>B60+B67</f>
        <v>170942</v>
      </c>
      <c r="C68" s="372">
        <f>C60+C67</f>
        <v>171533</v>
      </c>
      <c r="D68" s="373"/>
      <c r="E68" s="374" t="str">
        <f t="shared" si="0"/>
        <v>No</v>
      </c>
    </row>
    <row r="69" spans="1:5" x14ac:dyDescent="0.2">
      <c r="A69" s="375" t="s">
        <v>80</v>
      </c>
      <c r="B69" s="376">
        <v>119997</v>
      </c>
      <c r="C69" s="376">
        <v>121238</v>
      </c>
      <c r="D69" s="377"/>
      <c r="E69" s="378" t="str">
        <f t="shared" si="0"/>
        <v>No</v>
      </c>
    </row>
    <row r="70" spans="1:5" ht="15.75" thickBot="1" x14ac:dyDescent="0.25">
      <c r="A70" s="379" t="s">
        <v>129</v>
      </c>
      <c r="B70" s="380">
        <f>B72+B73+B74</f>
        <v>387546</v>
      </c>
      <c r="C70" s="380">
        <f>C72+C73+C74</f>
        <v>391983</v>
      </c>
      <c r="D70" s="381"/>
      <c r="E70" s="382" t="str">
        <f t="shared" si="0"/>
        <v>Yes</v>
      </c>
    </row>
    <row r="71" spans="1:5" x14ac:dyDescent="0.2">
      <c r="A71" s="335"/>
      <c r="B71" s="383"/>
      <c r="C71" s="383"/>
      <c r="D71" s="377"/>
      <c r="E71" s="384"/>
    </row>
    <row r="72" spans="1:5" x14ac:dyDescent="0.2">
      <c r="A72" s="385" t="s">
        <v>402</v>
      </c>
      <c r="B72" s="386">
        <v>112866</v>
      </c>
      <c r="C72" s="387">
        <v>113725</v>
      </c>
      <c r="D72" s="377"/>
      <c r="E72" s="384"/>
    </row>
    <row r="73" spans="1:5" x14ac:dyDescent="0.2">
      <c r="A73" s="385" t="s">
        <v>403</v>
      </c>
      <c r="B73" s="386">
        <v>175842</v>
      </c>
      <c r="C73" s="387">
        <v>176461</v>
      </c>
      <c r="D73" s="377"/>
      <c r="E73" s="384"/>
    </row>
    <row r="74" spans="1:5" x14ac:dyDescent="0.2">
      <c r="A74" s="385" t="s">
        <v>404</v>
      </c>
      <c r="B74" s="386">
        <v>98838</v>
      </c>
      <c r="C74" s="387">
        <v>101797</v>
      </c>
      <c r="D74" s="377"/>
      <c r="E74" s="384"/>
    </row>
    <row r="75" spans="1:5" x14ac:dyDescent="0.2">
      <c r="A75" s="377"/>
      <c r="B75" s="383"/>
      <c r="C75" s="383"/>
      <c r="D75" s="377"/>
      <c r="E75" s="384"/>
    </row>
    <row r="76" spans="1:5" x14ac:dyDescent="0.2">
      <c r="A76" s="377"/>
      <c r="B76" s="383"/>
      <c r="C76" s="383"/>
      <c r="D76" s="377"/>
      <c r="E76" s="384"/>
    </row>
    <row r="77" spans="1:5" ht="15.75" x14ac:dyDescent="0.25">
      <c r="A77" s="388" t="s">
        <v>293</v>
      </c>
      <c r="B77" s="389"/>
      <c r="C77" s="389"/>
      <c r="D77" s="389"/>
      <c r="E77" s="389"/>
    </row>
    <row r="78" spans="1:5" ht="15.75" x14ac:dyDescent="0.25">
      <c r="A78" s="388" t="s">
        <v>294</v>
      </c>
      <c r="B78" s="389"/>
      <c r="C78" s="389"/>
      <c r="D78" s="389"/>
      <c r="E78" s="389"/>
    </row>
    <row r="79" spans="1:5" ht="15.75" x14ac:dyDescent="0.25">
      <c r="A79" s="388" t="s">
        <v>295</v>
      </c>
      <c r="B79" s="389"/>
      <c r="C79" s="389"/>
      <c r="D79" s="389"/>
      <c r="E79" s="389"/>
    </row>
    <row r="80" spans="1:5" ht="15.75" x14ac:dyDescent="0.25">
      <c r="A80" s="389"/>
      <c r="B80" s="389"/>
      <c r="C80" s="389"/>
      <c r="D80" s="389"/>
      <c r="E80" s="389"/>
    </row>
    <row r="81" spans="1:5" ht="15.75" x14ac:dyDescent="0.25">
      <c r="A81" s="390" t="s">
        <v>296</v>
      </c>
      <c r="B81" s="389"/>
      <c r="C81" s="389"/>
      <c r="D81" s="389"/>
      <c r="E81" s="389"/>
    </row>
    <row r="82" spans="1:5" ht="15.75" x14ac:dyDescent="0.25">
      <c r="A82" s="390" t="s">
        <v>297</v>
      </c>
      <c r="B82" s="389"/>
      <c r="C82" s="389"/>
      <c r="D82" s="389"/>
      <c r="E82" s="389"/>
    </row>
  </sheetData>
  <sheetProtection sheet="1" objects="1" scenarios="1"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04F724-AB1E-4E45-A18B-A337DB8DF0C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6AA17F1-4D7F-43F5-A432-E1F657FCBBF9}">
  <ds:schemaRefs>
    <ds:schemaRef ds:uri="http://schemas.microsoft.com/sharepoint/v3/contenttype/forms"/>
  </ds:schemaRefs>
</ds:datastoreItem>
</file>

<file path=customXml/itemProps3.xml><?xml version="1.0" encoding="utf-8"?>
<ds:datastoreItem xmlns:ds="http://schemas.openxmlformats.org/officeDocument/2006/customXml" ds:itemID="{0C4AE8EC-C834-4472-B794-E7923F0C7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C12AD8-5E85-42DA-9A0E-6971BF8A70D1}">
  <ds:schemaRefs>
    <ds:schemaRef ds:uri="http://schemas.microsoft.com/office/2006/metadata/longProperties"/>
  </ds:schemaRefs>
</ds:datastoreItem>
</file>

<file path=customXml/itemProps5.xml><?xml version="1.0" encoding="utf-8"?>
<ds:datastoreItem xmlns:ds="http://schemas.openxmlformats.org/officeDocument/2006/customXml" ds:itemID="{879E911A-57C2-4A20-B843-05077089C4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Amador_FY16-17_RER_ADA</dc:title>
  <dc:creator>Donna Ures</dc:creator>
  <cp:keywords>Amador_FY16-17_RER_ADA</cp:keywords>
  <cp:lastModifiedBy>westj</cp:lastModifiedBy>
  <cp:lastPrinted>2018-04-13T17:23:17Z</cp:lastPrinted>
  <dcterms:created xsi:type="dcterms:W3CDTF">2017-07-05T19:48:18Z</dcterms:created>
  <dcterms:modified xsi:type="dcterms:W3CDTF">2020-11-01T07:47:52Z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DHCSDOC-1363137784-554</vt:lpwstr>
  </property>
  <property fmtid="{D5CDD505-2E9C-101B-9397-08002B2CF9AE}" pid="5" name="_dlc_DocIdItemGuid">
    <vt:lpwstr>002bcb98-45e2-4066-beb0-b8f44aa8049e</vt:lpwstr>
  </property>
  <property fmtid="{D5CDD505-2E9C-101B-9397-08002B2CF9AE}" pid="6" name="_dlc_DocIdUrl">
    <vt:lpwstr>http://dhcs2016prod:88/services/MH/_layouts/15/DocIdRedir.aspx?ID=DHCSDOC-1363137784-554, DHCSDOC-1363137784-554</vt:lpwstr>
  </property>
  <property fmtid="{D5CDD505-2E9C-101B-9397-08002B2CF9AE}" pid="7" name="ContentTypeId">
    <vt:lpwstr>0x0101000DD778A44A894D44A57135C48A267F0A</vt:lpwstr>
  </property>
</Properties>
</file>