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Web Posting\BHIN\BHIN-21-057\"/>
    </mc:Choice>
  </mc:AlternateContent>
  <bookViews>
    <workbookView xWindow="90" yWindow="375" windowWidth="12420" windowHeight="7905" activeTab="1"/>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11'!$A$3:$Z$73</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11'!$3:$7</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s>
  <calcPr calcId="162913"/>
</workbook>
</file>

<file path=xl/calcChain.xml><?xml version="1.0" encoding="utf-8"?>
<calcChain xmlns="http://schemas.openxmlformats.org/spreadsheetml/2006/main">
  <c r="S15" i="17" l="1"/>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S54" i="17"/>
  <c r="S55" i="17"/>
  <c r="S56" i="17"/>
  <c r="S57" i="17"/>
  <c r="S58" i="17"/>
  <c r="S59" i="17"/>
  <c r="S60" i="17"/>
  <c r="S61" i="17"/>
  <c r="S62" i="17"/>
  <c r="S63" i="17"/>
  <c r="S64" i="17"/>
  <c r="S65" i="17"/>
  <c r="S66" i="17"/>
  <c r="S67" i="17"/>
  <c r="S68" i="17"/>
  <c r="S69" i="17"/>
  <c r="S70" i="17"/>
  <c r="S71" i="17"/>
  <c r="S72" i="17"/>
  <c r="S14" i="17"/>
  <c r="S73" i="17" l="1"/>
  <c r="M76"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M77" i="17" l="1"/>
  <c r="AA73" i="17" l="1"/>
  <c r="T73" i="17"/>
  <c r="U73" i="17"/>
  <c r="Y73" i="17"/>
  <c r="Z73"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14" i="17"/>
  <c r="AM73" i="17"/>
  <c r="AP73" i="17"/>
  <c r="AD73" i="17"/>
  <c r="AG73" i="17"/>
  <c r="AJ73" i="17"/>
  <c r="AS73" i="17" l="1"/>
  <c r="AB73"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1"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3" i="17"/>
  <c r="N73"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2" i="17"/>
  <c r="W71"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1"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2" i="17"/>
  <c r="Q48" i="17"/>
  <c r="Q45" i="17"/>
  <c r="Q57" i="17"/>
  <c r="Q61" i="17"/>
  <c r="Q49" i="17"/>
  <c r="Q16" i="17"/>
  <c r="Q29" i="17"/>
  <c r="Q66" i="17"/>
  <c r="Q30" i="17"/>
  <c r="Q32" i="17"/>
  <c r="Q27" i="17"/>
  <c r="Q52" i="17"/>
  <c r="Q39" i="17"/>
  <c r="Q21" i="17"/>
  <c r="Q64" i="17"/>
  <c r="Q73"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3"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1"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2" i="17" s="1"/>
  <c r="M46" i="18"/>
  <c r="J55" i="17" s="1"/>
  <c r="M48" i="18"/>
  <c r="J57" i="17" s="1"/>
  <c r="M63" i="18"/>
  <c r="M10" i="18"/>
  <c r="J19" i="17" s="1"/>
  <c r="M13" i="18"/>
  <c r="J22" i="17" s="1"/>
  <c r="M26" i="18"/>
  <c r="J35" i="17" s="1"/>
  <c r="M14" i="18"/>
  <c r="J23" i="17" s="1"/>
  <c r="M42" i="18"/>
  <c r="J51" i="17" s="1"/>
  <c r="M8" i="18"/>
  <c r="J17" i="17" s="1"/>
  <c r="M49" i="18"/>
  <c r="J58" i="17" s="1"/>
  <c r="M38" i="18"/>
  <c r="J47" i="17" s="1"/>
  <c r="C73"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3"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3" i="17"/>
  <c r="F34" i="17"/>
  <c r="H34" i="17" s="1"/>
  <c r="F29" i="17"/>
  <c r="H29" i="17" s="1"/>
  <c r="F39" i="17"/>
  <c r="H39" i="17" s="1"/>
  <c r="F27" i="17"/>
  <c r="H27" i="17" s="1"/>
  <c r="F45" i="17"/>
  <c r="H45" i="17" s="1"/>
  <c r="F14" i="17"/>
  <c r="E73" i="17"/>
  <c r="F73" i="17" l="1"/>
  <c r="H14" i="17"/>
  <c r="H73"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3" i="17" l="1"/>
  <c r="K73" i="17" l="1"/>
  <c r="L71" i="17" s="1"/>
  <c r="M71" i="17" s="1"/>
  <c r="X71" i="17" s="1"/>
  <c r="L14" i="17" l="1"/>
  <c r="L48" i="17"/>
  <c r="M48" i="17" s="1"/>
  <c r="X48" i="17" s="1"/>
  <c r="L34" i="17"/>
  <c r="M34" i="17" s="1"/>
  <c r="X34" i="17" s="1"/>
  <c r="L57" i="17"/>
  <c r="M57" i="17" s="1"/>
  <c r="X57" i="17" s="1"/>
  <c r="L18" i="17"/>
  <c r="M18" i="17" s="1"/>
  <c r="X18" i="17" s="1"/>
  <c r="L69" i="17"/>
  <c r="M69" i="17" s="1"/>
  <c r="X69" i="17" s="1"/>
  <c r="L66" i="17"/>
  <c r="M66" i="17" s="1"/>
  <c r="X66" i="17" s="1"/>
  <c r="L67" i="17"/>
  <c r="M67" i="17" s="1"/>
  <c r="X67" i="17" s="1"/>
  <c r="L26" i="17"/>
  <c r="M26" i="17" s="1"/>
  <c r="X26" i="17" s="1"/>
  <c r="L43" i="17"/>
  <c r="M43" i="17" s="1"/>
  <c r="X43" i="17" s="1"/>
  <c r="L51" i="17"/>
  <c r="M51" i="17" s="1"/>
  <c r="X51" i="17" s="1"/>
  <c r="L15" i="17"/>
  <c r="M15" i="17" s="1"/>
  <c r="X15" i="17" s="1"/>
  <c r="L62" i="17"/>
  <c r="M62" i="17" s="1"/>
  <c r="X62" i="17" s="1"/>
  <c r="L54" i="17"/>
  <c r="M54" i="17" s="1"/>
  <c r="X54" i="17" s="1"/>
  <c r="L55" i="17"/>
  <c r="M55" i="17" s="1"/>
  <c r="X55" i="17" s="1"/>
  <c r="L65" i="17"/>
  <c r="M65" i="17" s="1"/>
  <c r="X65" i="17" s="1"/>
  <c r="L50" i="17"/>
  <c r="M50" i="17" s="1"/>
  <c r="X50" i="17" s="1"/>
  <c r="L28" i="17"/>
  <c r="M28" i="17" s="1"/>
  <c r="X28" i="17" s="1"/>
  <c r="L41" i="17"/>
  <c r="M41" i="17" s="1"/>
  <c r="X41" i="17" s="1"/>
  <c r="L27" i="17"/>
  <c r="M27" i="17" s="1"/>
  <c r="X27" i="17" s="1"/>
  <c r="L49" i="17"/>
  <c r="M49" i="17" s="1"/>
  <c r="X49" i="17" s="1"/>
  <c r="L68" i="17"/>
  <c r="M68" i="17" s="1"/>
  <c r="X68" i="17" s="1"/>
  <c r="L39" i="17"/>
  <c r="M39" i="17" s="1"/>
  <c r="X39" i="17" s="1"/>
  <c r="L44" i="17"/>
  <c r="M44" i="17" s="1"/>
  <c r="X44" i="17" s="1"/>
  <c r="L20" i="17"/>
  <c r="M20" i="17" s="1"/>
  <c r="X20" i="17" s="1"/>
  <c r="L33" i="17"/>
  <c r="M33" i="17" s="1"/>
  <c r="X33" i="17" s="1"/>
  <c r="L63" i="17"/>
  <c r="M63" i="17" s="1"/>
  <c r="X63" i="17" s="1"/>
  <c r="L70" i="17"/>
  <c r="M70" i="17" s="1"/>
  <c r="X70" i="17" s="1"/>
  <c r="L35" i="17"/>
  <c r="M35" i="17" s="1"/>
  <c r="X35" i="17" s="1"/>
  <c r="L45" i="17"/>
  <c r="M45" i="17" s="1"/>
  <c r="X45" i="17" s="1"/>
  <c r="L60" i="17"/>
  <c r="M60" i="17" s="1"/>
  <c r="X60" i="17" s="1"/>
  <c r="L29" i="17"/>
  <c r="M29" i="17" s="1"/>
  <c r="X29" i="17" s="1"/>
  <c r="L23" i="17"/>
  <c r="M23" i="17" s="1"/>
  <c r="X23" i="17" s="1"/>
  <c r="L17" i="17"/>
  <c r="M17" i="17" s="1"/>
  <c r="X17" i="17" s="1"/>
  <c r="L37" i="17"/>
  <c r="M37" i="17" s="1"/>
  <c r="X37" i="17" s="1"/>
  <c r="L61" i="17"/>
  <c r="M61" i="17" s="1"/>
  <c r="X61" i="17" s="1"/>
  <c r="L42" i="17"/>
  <c r="M42" i="17" s="1"/>
  <c r="X42" i="17" s="1"/>
  <c r="L22" i="17"/>
  <c r="M22" i="17" s="1"/>
  <c r="X22" i="17" s="1"/>
  <c r="L47" i="17"/>
  <c r="M47" i="17" s="1"/>
  <c r="X47" i="17" s="1"/>
  <c r="L46" i="17"/>
  <c r="M46" i="17" s="1"/>
  <c r="X46" i="17" s="1"/>
  <c r="L40" i="17"/>
  <c r="M40" i="17" s="1"/>
  <c r="X40" i="17" s="1"/>
  <c r="L32" i="17"/>
  <c r="M32" i="17" s="1"/>
  <c r="X32" i="17" s="1"/>
  <c r="L56" i="17"/>
  <c r="M56" i="17" s="1"/>
  <c r="X56" i="17" s="1"/>
  <c r="L59" i="17"/>
  <c r="M59" i="17" s="1"/>
  <c r="X59" i="17" s="1"/>
  <c r="L24" i="17"/>
  <c r="M24" i="17" s="1"/>
  <c r="X24" i="17" s="1"/>
  <c r="L52" i="17"/>
  <c r="M52" i="17" s="1"/>
  <c r="X52" i="17" s="1"/>
  <c r="L19" i="17"/>
  <c r="M19" i="17" s="1"/>
  <c r="X19" i="17" s="1"/>
  <c r="L30" i="17"/>
  <c r="M30" i="17" s="1"/>
  <c r="X30" i="17" s="1"/>
  <c r="L58" i="17"/>
  <c r="M58" i="17" s="1"/>
  <c r="X58" i="17" s="1"/>
  <c r="L36" i="17"/>
  <c r="M36" i="17" s="1"/>
  <c r="X36" i="17" s="1"/>
  <c r="L38" i="17"/>
  <c r="M38" i="17" s="1"/>
  <c r="X38" i="17" s="1"/>
  <c r="L16" i="17"/>
  <c r="M16" i="17" s="1"/>
  <c r="X16" i="17" s="1"/>
  <c r="L53" i="17"/>
  <c r="M53" i="17" s="1"/>
  <c r="X53" i="17" s="1"/>
  <c r="L21" i="17"/>
  <c r="M21" i="17" s="1"/>
  <c r="X21" i="17" s="1"/>
  <c r="L25" i="17"/>
  <c r="M25" i="17" s="1"/>
  <c r="X25" i="17" s="1"/>
  <c r="L64" i="17"/>
  <c r="M64" i="17" s="1"/>
  <c r="X64" i="17" s="1"/>
  <c r="L31" i="17"/>
  <c r="M31" i="17" s="1"/>
  <c r="X31" i="17" s="1"/>
  <c r="L72" i="17"/>
  <c r="M72" i="17" s="1"/>
  <c r="X72" i="17" s="1"/>
  <c r="M14" i="17" l="1"/>
  <c r="L73" i="17"/>
  <c r="M73" i="17" l="1"/>
  <c r="X14" i="17"/>
  <c r="X73" i="17" l="1"/>
  <c r="O14" i="17" s="1"/>
  <c r="P14" i="17" l="1"/>
  <c r="O38" i="17"/>
  <c r="P38" i="17" s="1"/>
  <c r="R38" i="17" s="1"/>
  <c r="O71" i="17"/>
  <c r="P71" i="17" s="1"/>
  <c r="R71" i="17" s="1"/>
  <c r="O19" i="17"/>
  <c r="P19" i="17" s="1"/>
  <c r="R19" i="17" s="1"/>
  <c r="O49" i="17"/>
  <c r="P49" i="17" s="1"/>
  <c r="R49" i="17" s="1"/>
  <c r="O61" i="17"/>
  <c r="P61" i="17" s="1"/>
  <c r="R61" i="17" s="1"/>
  <c r="O37" i="17"/>
  <c r="P37" i="17" s="1"/>
  <c r="R37" i="17" s="1"/>
  <c r="O32" i="17"/>
  <c r="P32" i="17" s="1"/>
  <c r="R32" i="17" s="1"/>
  <c r="O31" i="17"/>
  <c r="P31" i="17" s="1"/>
  <c r="R31" i="17" s="1"/>
  <c r="O65" i="17"/>
  <c r="P65" i="17" s="1"/>
  <c r="R65" i="17" s="1"/>
  <c r="O64" i="17"/>
  <c r="P64" i="17" s="1"/>
  <c r="R64" i="17" s="1"/>
  <c r="O68" i="17"/>
  <c r="P68" i="17" s="1"/>
  <c r="R68" i="17" s="1"/>
  <c r="O30" i="17"/>
  <c r="P30" i="17" s="1"/>
  <c r="R30" i="17" s="1"/>
  <c r="O53" i="17"/>
  <c r="P53" i="17" s="1"/>
  <c r="R53" i="17" s="1"/>
  <c r="O47" i="17"/>
  <c r="P47" i="17" s="1"/>
  <c r="R47" i="17" s="1"/>
  <c r="O62" i="17"/>
  <c r="P62" i="17" s="1"/>
  <c r="R62" i="17" s="1"/>
  <c r="O70" i="17"/>
  <c r="P70" i="17" s="1"/>
  <c r="R70" i="17" s="1"/>
  <c r="O63" i="17"/>
  <c r="P63" i="17" s="1"/>
  <c r="R63" i="17" s="1"/>
  <c r="O17" i="17"/>
  <c r="P17" i="17" s="1"/>
  <c r="R17" i="17" s="1"/>
  <c r="O58" i="17"/>
  <c r="P58" i="17" s="1"/>
  <c r="R58" i="17" s="1"/>
  <c r="O45" i="17"/>
  <c r="P45" i="17" s="1"/>
  <c r="R45" i="17" s="1"/>
  <c r="O67" i="17"/>
  <c r="P67" i="17" s="1"/>
  <c r="R67" i="17" s="1"/>
  <c r="O51" i="17"/>
  <c r="P51" i="17" s="1"/>
  <c r="R51" i="17" s="1"/>
  <c r="O23" i="17"/>
  <c r="P23" i="17" s="1"/>
  <c r="R23" i="17" s="1"/>
  <c r="O57" i="17"/>
  <c r="P57" i="17" s="1"/>
  <c r="R57" i="17" s="1"/>
  <c r="O59" i="17"/>
  <c r="P59" i="17" s="1"/>
  <c r="R59" i="17" s="1"/>
  <c r="O44" i="17"/>
  <c r="P44" i="17" s="1"/>
  <c r="R44" i="17" s="1"/>
  <c r="O60" i="17"/>
  <c r="P60" i="17" s="1"/>
  <c r="R60" i="17" s="1"/>
  <c r="O18" i="17"/>
  <c r="P18" i="17" s="1"/>
  <c r="R18" i="17" s="1"/>
  <c r="O27" i="17"/>
  <c r="P27" i="17" s="1"/>
  <c r="R27" i="17" s="1"/>
  <c r="O41" i="17"/>
  <c r="P41" i="17" s="1"/>
  <c r="R41" i="17" s="1"/>
  <c r="O33" i="17"/>
  <c r="P33" i="17" s="1"/>
  <c r="R33" i="17" s="1"/>
  <c r="O40" i="17"/>
  <c r="P40" i="17" s="1"/>
  <c r="R40" i="17" s="1"/>
  <c r="O24" i="17"/>
  <c r="P24" i="17" s="1"/>
  <c r="R24" i="17" s="1"/>
  <c r="O52" i="17"/>
  <c r="P52" i="17" s="1"/>
  <c r="R52" i="17" s="1"/>
  <c r="O28" i="17"/>
  <c r="P28" i="17" s="1"/>
  <c r="R28" i="17" s="1"/>
  <c r="O34" i="17"/>
  <c r="P34" i="17" s="1"/>
  <c r="R34" i="17" s="1"/>
  <c r="O20" i="17"/>
  <c r="P20" i="17" s="1"/>
  <c r="R20" i="17" s="1"/>
  <c r="O56" i="17"/>
  <c r="P56" i="17" s="1"/>
  <c r="R56" i="17" s="1"/>
  <c r="O39" i="17"/>
  <c r="P39" i="17" s="1"/>
  <c r="R39" i="17" s="1"/>
  <c r="O15" i="17"/>
  <c r="P15" i="17" s="1"/>
  <c r="R15" i="17" s="1"/>
  <c r="O55" i="17"/>
  <c r="P55" i="17" s="1"/>
  <c r="R55" i="17" s="1"/>
  <c r="O43" i="17"/>
  <c r="P43" i="17" s="1"/>
  <c r="R43" i="17" s="1"/>
  <c r="O36" i="17"/>
  <c r="P36" i="17" s="1"/>
  <c r="R36" i="17" s="1"/>
  <c r="O66" i="17"/>
  <c r="P66" i="17" s="1"/>
  <c r="R66" i="17" s="1"/>
  <c r="O35" i="17"/>
  <c r="P35" i="17" s="1"/>
  <c r="R35" i="17" s="1"/>
  <c r="O21" i="17"/>
  <c r="P21" i="17" s="1"/>
  <c r="R21" i="17" s="1"/>
  <c r="O54" i="17"/>
  <c r="P54" i="17" s="1"/>
  <c r="R54" i="17" s="1"/>
  <c r="O48" i="17"/>
  <c r="P48" i="17" s="1"/>
  <c r="R48" i="17" s="1"/>
  <c r="O50" i="17"/>
  <c r="P50" i="17" s="1"/>
  <c r="R50" i="17" s="1"/>
  <c r="O46" i="17"/>
  <c r="P46" i="17" s="1"/>
  <c r="R46" i="17" s="1"/>
  <c r="O25" i="17"/>
  <c r="P25" i="17" s="1"/>
  <c r="R25" i="17" s="1"/>
  <c r="O16" i="17"/>
  <c r="P16" i="17" s="1"/>
  <c r="R16" i="17" s="1"/>
  <c r="O69" i="17"/>
  <c r="P69" i="17" s="1"/>
  <c r="R69" i="17" s="1"/>
  <c r="O72" i="17"/>
  <c r="P72" i="17" s="1"/>
  <c r="R72" i="17" s="1"/>
  <c r="O22" i="17"/>
  <c r="P22" i="17" s="1"/>
  <c r="R22" i="17" s="1"/>
  <c r="O26" i="17"/>
  <c r="P26" i="17" s="1"/>
  <c r="R26" i="17" s="1"/>
  <c r="O29" i="17"/>
  <c r="P29" i="17" s="1"/>
  <c r="R29" i="17" s="1"/>
  <c r="O42" i="17"/>
  <c r="P42" i="17" s="1"/>
  <c r="R42" i="17" s="1"/>
  <c r="R14" i="17" l="1"/>
  <c r="R73" i="17" s="1"/>
  <c r="P73" i="17"/>
  <c r="O73" i="17"/>
  <c r="BB33" i="17" l="1"/>
  <c r="V39" i="17"/>
  <c r="AN31" i="17"/>
  <c r="AO31" i="17" s="1"/>
  <c r="BB21" i="17"/>
  <c r="V21" i="17"/>
  <c r="AC21" i="17"/>
  <c r="AU21" i="17"/>
  <c r="AW21" i="17" s="1"/>
  <c r="AK21" i="17"/>
  <c r="AL21" i="17" s="1"/>
  <c r="AQ21" i="17"/>
  <c r="AR21" i="17" s="1"/>
  <c r="AX21" i="17"/>
  <c r="AN21" i="17"/>
  <c r="AO21" i="17" s="1"/>
  <c r="AE21" i="17"/>
  <c r="AF21" i="17" s="1"/>
  <c r="AH21" i="17"/>
  <c r="AI21" i="17" s="1"/>
  <c r="AU39" i="17"/>
  <c r="AW39" i="17" s="1"/>
  <c r="AE39" i="17"/>
  <c r="AF39" i="17" s="1"/>
  <c r="AX33" i="17"/>
  <c r="V33" i="17"/>
  <c r="AU33" i="17"/>
  <c r="AW33" i="17" s="1"/>
  <c r="AN33" i="17"/>
  <c r="AO33" i="17" s="1"/>
  <c r="AC33" i="17" l="1"/>
  <c r="AH33" i="17"/>
  <c r="AI33" i="17" s="1"/>
  <c r="AK33" i="17"/>
  <c r="AL33" i="17" s="1"/>
  <c r="AQ31" i="17"/>
  <c r="AR31" i="17" s="1"/>
  <c r="AX31" i="17"/>
  <c r="AH31" i="17"/>
  <c r="AI31" i="17" s="1"/>
  <c r="AQ33" i="17"/>
  <c r="AR33" i="17" s="1"/>
  <c r="AE33" i="17"/>
  <c r="AF33" i="17" s="1"/>
  <c r="AE31" i="17"/>
  <c r="AF31" i="17" s="1"/>
  <c r="AU31" i="17"/>
  <c r="AW31" i="17" s="1"/>
  <c r="BB31" i="17"/>
  <c r="AX39" i="17"/>
  <c r="AC31" i="17"/>
  <c r="V31" i="17"/>
  <c r="AK31" i="17"/>
  <c r="AL31" i="17" s="1"/>
  <c r="AN39" i="17"/>
  <c r="AO39" i="17" s="1"/>
  <c r="AH39" i="17"/>
  <c r="AI39" i="17" s="1"/>
  <c r="BB39" i="17"/>
  <c r="AK39" i="17"/>
  <c r="AL39" i="17" s="1"/>
  <c r="AQ39" i="17"/>
  <c r="AR39" i="17" s="1"/>
  <c r="AC39" i="17"/>
  <c r="BB69" i="17"/>
  <c r="AH69" i="17"/>
  <c r="AI69" i="17" s="1"/>
  <c r="V69" i="17"/>
  <c r="AK69" i="17"/>
  <c r="AL69" i="17" s="1"/>
  <c r="AC69" i="17"/>
  <c r="AQ69" i="17"/>
  <c r="AR69" i="17" s="1"/>
  <c r="AE69" i="17"/>
  <c r="AF69" i="17" s="1"/>
  <c r="AN69" i="17"/>
  <c r="AO69" i="17" s="1"/>
  <c r="AX69" i="17"/>
  <c r="AU69" i="17"/>
  <c r="AW69" i="17" s="1"/>
  <c r="BB30" i="17"/>
  <c r="AU30" i="17"/>
  <c r="AW30" i="17" s="1"/>
  <c r="AE30" i="17"/>
  <c r="AF30" i="17" s="1"/>
  <c r="AK30" i="17"/>
  <c r="AL30" i="17" s="1"/>
  <c r="AH30" i="17"/>
  <c r="AI30" i="17" s="1"/>
  <c r="AN30" i="17"/>
  <c r="AO30" i="17" s="1"/>
  <c r="AQ30" i="17"/>
  <c r="AR30" i="17" s="1"/>
  <c r="AX30" i="17"/>
  <c r="AC30" i="17"/>
  <c r="V30" i="17"/>
  <c r="BB42" i="17"/>
  <c r="AE42" i="17"/>
  <c r="AF42" i="17" s="1"/>
  <c r="AU42" i="17"/>
  <c r="AW42" i="17" s="1"/>
  <c r="V42" i="17"/>
  <c r="AK42" i="17"/>
  <c r="AL42" i="17" s="1"/>
  <c r="AX42" i="17"/>
  <c r="AC42" i="17"/>
  <c r="AQ42" i="17"/>
  <c r="AR42" i="17" s="1"/>
  <c r="AH42" i="17"/>
  <c r="AI42" i="17" s="1"/>
  <c r="AN42" i="17"/>
  <c r="AO42" i="17" s="1"/>
  <c r="BB62" i="17"/>
  <c r="AQ62" i="17"/>
  <c r="AR62" i="17" s="1"/>
  <c r="AX62" i="17"/>
  <c r="AC62" i="17"/>
  <c r="AE62" i="17"/>
  <c r="AF62" i="17" s="1"/>
  <c r="AK62" i="17"/>
  <c r="AL62" i="17" s="1"/>
  <c r="AN62" i="17"/>
  <c r="AO62" i="17" s="1"/>
  <c r="AH62" i="17"/>
  <c r="AI62" i="17" s="1"/>
  <c r="V62" i="17"/>
  <c r="AU62" i="17"/>
  <c r="AW62" i="17" s="1"/>
  <c r="BB63" i="17"/>
  <c r="AU63" i="17"/>
  <c r="AW63" i="17" s="1"/>
  <c r="AH63" i="17"/>
  <c r="AI63" i="17" s="1"/>
  <c r="AC63" i="17"/>
  <c r="AK63" i="17"/>
  <c r="AL63" i="17" s="1"/>
  <c r="AX63" i="17"/>
  <c r="AE63" i="17"/>
  <c r="AF63" i="17" s="1"/>
  <c r="V63" i="17"/>
  <c r="AQ63" i="17"/>
  <c r="AR63" i="17" s="1"/>
  <c r="AN63" i="17"/>
  <c r="AO63" i="17" s="1"/>
  <c r="BB60" i="17"/>
  <c r="AN60" i="17"/>
  <c r="AO60" i="17" s="1"/>
  <c r="AC60" i="17"/>
  <c r="AH60" i="17"/>
  <c r="AI60" i="17" s="1"/>
  <c r="V60" i="17"/>
  <c r="AX60" i="17"/>
  <c r="AE60" i="17"/>
  <c r="AF60" i="17" s="1"/>
  <c r="AK60" i="17"/>
  <c r="AL60" i="17" s="1"/>
  <c r="AU60" i="17"/>
  <c r="AW60" i="17" s="1"/>
  <c r="AQ60" i="17"/>
  <c r="AR60" i="17" s="1"/>
  <c r="BB19" i="17"/>
  <c r="V19" i="17"/>
  <c r="AN19" i="17"/>
  <c r="AO19" i="17" s="1"/>
  <c r="AE19" i="17"/>
  <c r="AF19" i="17" s="1"/>
  <c r="AX19" i="17"/>
  <c r="AH19" i="17"/>
  <c r="AI19" i="17" s="1"/>
  <c r="AU19" i="17"/>
  <c r="AW19" i="17" s="1"/>
  <c r="AC19" i="17"/>
  <c r="AQ19" i="17"/>
  <c r="AR19" i="17" s="1"/>
  <c r="AK19" i="17"/>
  <c r="AL19" i="17" s="1"/>
  <c r="BB71" i="17"/>
  <c r="AU71" i="17"/>
  <c r="AW71" i="17" s="1"/>
  <c r="AH71" i="17"/>
  <c r="AI71" i="17" s="1"/>
  <c r="AC71" i="17"/>
  <c r="AN71" i="17"/>
  <c r="AO71" i="17" s="1"/>
  <c r="AX71" i="17"/>
  <c r="AQ71" i="17"/>
  <c r="AR71" i="17" s="1"/>
  <c r="AK71" i="17"/>
  <c r="AL71" i="17" s="1"/>
  <c r="AE71" i="17"/>
  <c r="AF71" i="17" s="1"/>
  <c r="V71" i="17"/>
  <c r="BB72" i="17"/>
  <c r="AU72" i="17"/>
  <c r="AW72" i="17" s="1"/>
  <c r="AK72" i="17"/>
  <c r="AL72" i="17" s="1"/>
  <c r="AX72" i="17"/>
  <c r="AN72" i="17"/>
  <c r="AO72" i="17" s="1"/>
  <c r="AE72" i="17"/>
  <c r="AF72" i="17" s="1"/>
  <c r="AQ72" i="17"/>
  <c r="AR72" i="17" s="1"/>
  <c r="V72" i="17"/>
  <c r="AH72" i="17"/>
  <c r="AI72" i="17" s="1"/>
  <c r="AC72" i="17"/>
  <c r="BB15" i="17"/>
  <c r="AX15" i="17"/>
  <c r="AN15" i="17"/>
  <c r="AO15" i="17" s="1"/>
  <c r="AQ15" i="17"/>
  <c r="AR15" i="17" s="1"/>
  <c r="AC15" i="17"/>
  <c r="AE15" i="17"/>
  <c r="AF15" i="17" s="1"/>
  <c r="AU15" i="17"/>
  <c r="AW15" i="17" s="1"/>
  <c r="V15" i="17"/>
  <c r="AK15" i="17"/>
  <c r="AL15" i="17" s="1"/>
  <c r="AH15" i="17"/>
  <c r="AI15" i="17" s="1"/>
  <c r="BB25" i="17"/>
  <c r="AH25" i="17"/>
  <c r="AI25" i="17" s="1"/>
  <c r="AC25" i="17"/>
  <c r="AK25" i="17"/>
  <c r="AL25" i="17" s="1"/>
  <c r="AN25" i="17"/>
  <c r="AO25" i="17" s="1"/>
  <c r="V25" i="17"/>
  <c r="AU25" i="17"/>
  <c r="AW25" i="17" s="1"/>
  <c r="AE25" i="17"/>
  <c r="AF25" i="17" s="1"/>
  <c r="AX25" i="17"/>
  <c r="AQ25" i="17"/>
  <c r="AR25" i="17" s="1"/>
  <c r="AC32" i="17"/>
  <c r="AQ32" i="17"/>
  <c r="AR32" i="17" s="1"/>
  <c r="AU32" i="17"/>
  <c r="AW32" i="17" s="1"/>
  <c r="AE32" i="17"/>
  <c r="AF32" i="17" s="1"/>
  <c r="V32" i="17"/>
  <c r="AH32" i="17"/>
  <c r="AI32" i="17" s="1"/>
  <c r="AK32" i="17"/>
  <c r="AL32" i="17" s="1"/>
  <c r="AX32" i="17"/>
  <c r="AN32" i="17"/>
  <c r="AO32" i="17" s="1"/>
  <c r="BB32" i="17"/>
  <c r="BB65" i="17"/>
  <c r="AH65" i="17"/>
  <c r="AI65" i="17" s="1"/>
  <c r="AQ65" i="17"/>
  <c r="AR65" i="17" s="1"/>
  <c r="V65" i="17"/>
  <c r="AK65" i="17"/>
  <c r="AL65" i="17" s="1"/>
  <c r="AE65" i="17"/>
  <c r="AF65" i="17" s="1"/>
  <c r="AU65" i="17"/>
  <c r="AW65" i="17" s="1"/>
  <c r="AC65" i="17"/>
  <c r="AN65" i="17"/>
  <c r="AO65" i="17" s="1"/>
  <c r="AX65" i="17"/>
  <c r="AH47" i="17"/>
  <c r="AI47" i="17" s="1"/>
  <c r="AN47" i="17"/>
  <c r="AO47" i="17" s="1"/>
  <c r="AC47" i="17"/>
  <c r="AX47" i="17"/>
  <c r="AU47" i="17"/>
  <c r="AW47" i="17" s="1"/>
  <c r="AE47" i="17"/>
  <c r="AF47" i="17" s="1"/>
  <c r="AK47" i="17"/>
  <c r="AL47" i="17" s="1"/>
  <c r="V47" i="17"/>
  <c r="AQ47" i="17"/>
  <c r="AR47" i="17" s="1"/>
  <c r="BB47" i="17"/>
  <c r="BB50" i="17"/>
  <c r="AC50" i="17"/>
  <c r="AN50" i="17"/>
  <c r="AO50" i="17" s="1"/>
  <c r="AX50" i="17"/>
  <c r="AU50" i="17"/>
  <c r="AW50" i="17" s="1"/>
  <c r="AH50" i="17"/>
  <c r="AI50" i="17" s="1"/>
  <c r="V50" i="17"/>
  <c r="AE50" i="17"/>
  <c r="AF50" i="17" s="1"/>
  <c r="AQ50" i="17"/>
  <c r="AR50" i="17" s="1"/>
  <c r="AK50" i="17"/>
  <c r="AL50" i="17" s="1"/>
  <c r="BB48" i="17"/>
  <c r="AN48" i="17"/>
  <c r="AO48" i="17" s="1"/>
  <c r="AE48" i="17"/>
  <c r="AF48" i="17" s="1"/>
  <c r="V48" i="17"/>
  <c r="AK48" i="17"/>
  <c r="AL48" i="17" s="1"/>
  <c r="AU48" i="17"/>
  <c r="AW48" i="17" s="1"/>
  <c r="AX48" i="17"/>
  <c r="AC48" i="17"/>
  <c r="AQ48" i="17"/>
  <c r="AR48" i="17" s="1"/>
  <c r="AH48" i="17"/>
  <c r="AI48" i="17" s="1"/>
  <c r="BB44" i="17"/>
  <c r="AH44" i="17"/>
  <c r="AI44" i="17" s="1"/>
  <c r="AQ44" i="17"/>
  <c r="AR44" i="17" s="1"/>
  <c r="V44" i="17"/>
  <c r="AE44" i="17"/>
  <c r="AF44" i="17" s="1"/>
  <c r="AX44" i="17"/>
  <c r="AU44" i="17"/>
  <c r="AW44" i="17" s="1"/>
  <c r="AK44" i="17"/>
  <c r="AL44" i="17" s="1"/>
  <c r="AC44" i="17"/>
  <c r="AN44" i="17"/>
  <c r="AO44" i="17" s="1"/>
  <c r="BB46" i="17"/>
  <c r="AH46" i="17"/>
  <c r="AI46" i="17" s="1"/>
  <c r="AK46" i="17"/>
  <c r="AL46" i="17" s="1"/>
  <c r="AC46" i="17"/>
  <c r="AE46" i="17"/>
  <c r="AF46" i="17" s="1"/>
  <c r="AU46" i="17"/>
  <c r="AW46" i="17" s="1"/>
  <c r="AX46" i="17"/>
  <c r="AQ46" i="17"/>
  <c r="AR46" i="17" s="1"/>
  <c r="V46" i="17"/>
  <c r="AN46" i="17"/>
  <c r="AO46" i="17" s="1"/>
  <c r="BB18" i="17"/>
  <c r="AN18" i="17"/>
  <c r="AO18" i="17" s="1"/>
  <c r="AX18" i="17"/>
  <c r="AH18" i="17"/>
  <c r="AI18" i="17" s="1"/>
  <c r="AK18" i="17"/>
  <c r="AL18" i="17" s="1"/>
  <c r="AC18" i="17"/>
  <c r="AE18" i="17"/>
  <c r="AF18" i="17" s="1"/>
  <c r="AQ18" i="17"/>
  <c r="AR18" i="17" s="1"/>
  <c r="AU18" i="17"/>
  <c r="AW18" i="17" s="1"/>
  <c r="V18" i="17"/>
  <c r="BB70" i="17"/>
  <c r="AH70" i="17"/>
  <c r="AI70" i="17" s="1"/>
  <c r="AU70" i="17"/>
  <c r="AW70" i="17" s="1"/>
  <c r="AE70" i="17"/>
  <c r="AF70" i="17" s="1"/>
  <c r="AC70" i="17"/>
  <c r="AQ70" i="17"/>
  <c r="AR70" i="17" s="1"/>
  <c r="AX70" i="17"/>
  <c r="V70" i="17"/>
  <c r="AK70" i="17"/>
  <c r="AL70" i="17" s="1"/>
  <c r="AN70" i="17"/>
  <c r="AO70" i="17" s="1"/>
  <c r="AH38" i="17"/>
  <c r="AI38" i="17" s="1"/>
  <c r="AU38" i="17"/>
  <c r="AW38" i="17" s="1"/>
  <c r="AK38" i="17"/>
  <c r="AL38" i="17" s="1"/>
  <c r="AC38" i="17"/>
  <c r="AX38" i="17"/>
  <c r="V38" i="17"/>
  <c r="AN38" i="17"/>
  <c r="AO38" i="17" s="1"/>
  <c r="AE38" i="17"/>
  <c r="AF38" i="17" s="1"/>
  <c r="BB38" i="17"/>
  <c r="AQ38" i="17"/>
  <c r="AR38" i="17" s="1"/>
  <c r="BB40" i="17"/>
  <c r="AC40" i="17"/>
  <c r="V40" i="17"/>
  <c r="AX40" i="17"/>
  <c r="AQ40" i="17"/>
  <c r="AR40" i="17" s="1"/>
  <c r="AU40" i="17"/>
  <c r="AW40" i="17" s="1"/>
  <c r="AN40" i="17"/>
  <c r="AO40" i="17" s="1"/>
  <c r="AH40" i="17"/>
  <c r="AI40" i="17" s="1"/>
  <c r="AK40" i="17"/>
  <c r="AL40" i="17" s="1"/>
  <c r="AE40" i="17"/>
  <c r="AF40" i="17" s="1"/>
  <c r="BB49" i="17"/>
  <c r="AU49" i="17"/>
  <c r="AW49" i="17" s="1"/>
  <c r="AX49" i="17"/>
  <c r="AH49" i="17"/>
  <c r="AI49" i="17" s="1"/>
  <c r="V49" i="17"/>
  <c r="AE49" i="17"/>
  <c r="AF49" i="17" s="1"/>
  <c r="AC49" i="17"/>
  <c r="AN49" i="17"/>
  <c r="AO49" i="17" s="1"/>
  <c r="AK49" i="17"/>
  <c r="AL49" i="17" s="1"/>
  <c r="AQ49" i="17"/>
  <c r="AR49" i="17" s="1"/>
  <c r="AE52" i="17"/>
  <c r="AF52" i="17" s="1"/>
  <c r="AC52" i="17"/>
  <c r="AN52" i="17"/>
  <c r="AO52" i="17" s="1"/>
  <c r="AX52" i="17"/>
  <c r="V52" i="17"/>
  <c r="AQ52" i="17"/>
  <c r="AR52" i="17" s="1"/>
  <c r="BB52" i="17"/>
  <c r="AH52" i="17"/>
  <c r="AI52" i="17" s="1"/>
  <c r="AK52" i="17"/>
  <c r="AL52" i="17" s="1"/>
  <c r="AU52" i="17"/>
  <c r="AW52" i="17" s="1"/>
  <c r="BB61" i="17"/>
  <c r="V61" i="17"/>
  <c r="AK61" i="17"/>
  <c r="AL61" i="17" s="1"/>
  <c r="AE61" i="17"/>
  <c r="AF61" i="17" s="1"/>
  <c r="AH61" i="17"/>
  <c r="AI61" i="17" s="1"/>
  <c r="AU61" i="17"/>
  <c r="AW61" i="17" s="1"/>
  <c r="AX61" i="17"/>
  <c r="AQ61" i="17"/>
  <c r="AR61" i="17" s="1"/>
  <c r="AN61" i="17"/>
  <c r="AO61" i="17" s="1"/>
  <c r="AC61" i="17"/>
  <c r="BB66" i="17"/>
  <c r="AK66" i="17"/>
  <c r="AL66" i="17" s="1"/>
  <c r="AE66" i="17"/>
  <c r="AF66" i="17" s="1"/>
  <c r="AH66" i="17"/>
  <c r="AI66" i="17" s="1"/>
  <c r="AU66" i="17"/>
  <c r="AW66" i="17" s="1"/>
  <c r="AX66" i="17"/>
  <c r="AQ66" i="17"/>
  <c r="AR66" i="17" s="1"/>
  <c r="V66" i="17"/>
  <c r="AC66" i="17"/>
  <c r="AN66" i="17"/>
  <c r="AO66" i="17" s="1"/>
  <c r="AK57" i="17"/>
  <c r="AL57" i="17" s="1"/>
  <c r="AE57" i="17"/>
  <c r="AF57" i="17" s="1"/>
  <c r="V57" i="17"/>
  <c r="AH57" i="17"/>
  <c r="AI57" i="17" s="1"/>
  <c r="AQ57" i="17"/>
  <c r="AR57" i="17" s="1"/>
  <c r="AU57" i="17"/>
  <c r="AW57" i="17" s="1"/>
  <c r="BB57" i="17"/>
  <c r="AX57" i="17"/>
  <c r="AN57" i="17"/>
  <c r="AO57" i="17" s="1"/>
  <c r="AC57" i="17"/>
  <c r="BB29" i="17"/>
  <c r="AC29" i="17"/>
  <c r="AN29" i="17"/>
  <c r="AO29" i="17" s="1"/>
  <c r="AU29" i="17"/>
  <c r="AW29" i="17" s="1"/>
  <c r="AQ29" i="17"/>
  <c r="AR29" i="17" s="1"/>
  <c r="AX29" i="17"/>
  <c r="AH29" i="17"/>
  <c r="AI29" i="17" s="1"/>
  <c r="V29" i="17"/>
  <c r="AE29" i="17"/>
  <c r="AF29" i="17" s="1"/>
  <c r="AK29" i="17"/>
  <c r="AL29" i="17" s="1"/>
  <c r="BB36" i="17"/>
  <c r="AN36" i="17"/>
  <c r="AO36" i="17" s="1"/>
  <c r="AQ36" i="17"/>
  <c r="AR36" i="17" s="1"/>
  <c r="AK36" i="17"/>
  <c r="AL36" i="17" s="1"/>
  <c r="AX36" i="17"/>
  <c r="AU36" i="17"/>
  <c r="AW36" i="17" s="1"/>
  <c r="V36" i="17"/>
  <c r="AC36" i="17"/>
  <c r="AE36" i="17"/>
  <c r="AF36" i="17" s="1"/>
  <c r="AH36" i="17"/>
  <c r="AI36" i="17" s="1"/>
  <c r="BB41" i="17"/>
  <c r="AC41" i="17"/>
  <c r="AE41" i="17"/>
  <c r="AF41" i="17" s="1"/>
  <c r="AQ41" i="17"/>
  <c r="AR41" i="17" s="1"/>
  <c r="AK41" i="17"/>
  <c r="AL41" i="17" s="1"/>
  <c r="AX41" i="17"/>
  <c r="V41" i="17"/>
  <c r="AN41" i="17"/>
  <c r="AO41" i="17" s="1"/>
  <c r="AU41" i="17"/>
  <c r="AW41" i="17" s="1"/>
  <c r="AH41" i="17"/>
  <c r="AI41" i="17" s="1"/>
  <c r="BB35" i="17"/>
  <c r="AN35" i="17"/>
  <c r="AO35" i="17" s="1"/>
  <c r="AX35" i="17"/>
  <c r="V35" i="17"/>
  <c r="AK35" i="17"/>
  <c r="AL35" i="17" s="1"/>
  <c r="AE35" i="17"/>
  <c r="AF35" i="17" s="1"/>
  <c r="AQ35" i="17"/>
  <c r="AR35" i="17" s="1"/>
  <c r="AU35" i="17"/>
  <c r="AW35" i="17" s="1"/>
  <c r="AC35" i="17"/>
  <c r="AH35" i="17"/>
  <c r="AI35" i="17" s="1"/>
  <c r="BB55" i="17"/>
  <c r="AN55" i="17"/>
  <c r="AO55" i="17" s="1"/>
  <c r="V55" i="17"/>
  <c r="AK55" i="17"/>
  <c r="AL55" i="17" s="1"/>
  <c r="AX55" i="17"/>
  <c r="AE55" i="17"/>
  <c r="AF55" i="17" s="1"/>
  <c r="AU55" i="17"/>
  <c r="AW55" i="17" s="1"/>
  <c r="AC55" i="17"/>
  <c r="AH55" i="17"/>
  <c r="AI55" i="17" s="1"/>
  <c r="AQ55" i="17"/>
  <c r="AR55" i="17" s="1"/>
  <c r="BB58" i="17"/>
  <c r="V58" i="17"/>
  <c r="AU58" i="17"/>
  <c r="AW58" i="17" s="1"/>
  <c r="AH58" i="17"/>
  <c r="AI58" i="17" s="1"/>
  <c r="AC58" i="17"/>
  <c r="AK58" i="17"/>
  <c r="AL58" i="17" s="1"/>
  <c r="AE58" i="17"/>
  <c r="AF58" i="17" s="1"/>
  <c r="AQ58" i="17"/>
  <c r="AR58" i="17" s="1"/>
  <c r="AN58" i="17"/>
  <c r="AO58" i="17" s="1"/>
  <c r="AX58" i="17"/>
  <c r="BB53" i="17"/>
  <c r="AU53" i="17"/>
  <c r="AW53" i="17" s="1"/>
  <c r="AK53" i="17"/>
  <c r="AL53" i="17" s="1"/>
  <c r="AX53" i="17"/>
  <c r="AN53" i="17"/>
  <c r="AO53" i="17" s="1"/>
  <c r="AE53" i="17"/>
  <c r="AF53" i="17" s="1"/>
  <c r="AH53" i="17"/>
  <c r="AI53" i="17" s="1"/>
  <c r="V53" i="17"/>
  <c r="AC53" i="17"/>
  <c r="AQ53" i="17"/>
  <c r="AR53" i="17" s="1"/>
  <c r="BB16" i="17"/>
  <c r="AK16" i="17"/>
  <c r="AL16" i="17" s="1"/>
  <c r="AQ16" i="17"/>
  <c r="AR16" i="17" s="1"/>
  <c r="AC16" i="17"/>
  <c r="AH16" i="17"/>
  <c r="AI16" i="17" s="1"/>
  <c r="V16" i="17"/>
  <c r="AN16" i="17"/>
  <c r="AO16" i="17" s="1"/>
  <c r="AX16" i="17"/>
  <c r="AE16" i="17"/>
  <c r="AF16" i="17" s="1"/>
  <c r="AU16" i="17"/>
  <c r="AW16" i="17" s="1"/>
  <c r="BB64" i="17"/>
  <c r="AU64" i="17"/>
  <c r="AW64" i="17" s="1"/>
  <c r="AN64" i="17"/>
  <c r="AO64" i="17" s="1"/>
  <c r="AC64" i="17"/>
  <c r="AH64" i="17"/>
  <c r="AI64" i="17" s="1"/>
  <c r="V64" i="17"/>
  <c r="AK64" i="17"/>
  <c r="AL64" i="17" s="1"/>
  <c r="AQ64" i="17"/>
  <c r="AR64" i="17" s="1"/>
  <c r="AX64" i="17"/>
  <c r="AE64" i="17"/>
  <c r="AF64" i="17" s="1"/>
  <c r="BB37" i="17"/>
  <c r="AK37" i="17"/>
  <c r="AL37" i="17" s="1"/>
  <c r="V37" i="17"/>
  <c r="AX37" i="17"/>
  <c r="AQ37" i="17"/>
  <c r="AR37" i="17" s="1"/>
  <c r="AU37" i="17"/>
  <c r="AW37" i="17" s="1"/>
  <c r="AE37" i="17"/>
  <c r="AF37" i="17" s="1"/>
  <c r="AH37" i="17"/>
  <c r="AI37" i="17" s="1"/>
  <c r="AN37" i="17"/>
  <c r="AO37" i="17" s="1"/>
  <c r="AC37" i="17"/>
  <c r="BB43" i="17"/>
  <c r="AK43" i="17"/>
  <c r="AL43" i="17" s="1"/>
  <c r="V43" i="17"/>
  <c r="AN43" i="17"/>
  <c r="AO43" i="17" s="1"/>
  <c r="AX43" i="17"/>
  <c r="AU43" i="17"/>
  <c r="AW43" i="17" s="1"/>
  <c r="AQ43" i="17"/>
  <c r="AR43" i="17" s="1"/>
  <c r="AE43" i="17"/>
  <c r="AF43" i="17" s="1"/>
  <c r="AH43" i="17"/>
  <c r="AI43" i="17" s="1"/>
  <c r="AC43" i="17"/>
  <c r="BB45" i="17"/>
  <c r="AQ45" i="17"/>
  <c r="AR45" i="17" s="1"/>
  <c r="V45" i="17"/>
  <c r="AH45" i="17"/>
  <c r="AI45" i="17" s="1"/>
  <c r="AN45" i="17"/>
  <c r="AO45" i="17" s="1"/>
  <c r="AX45" i="17"/>
  <c r="AK45" i="17"/>
  <c r="AL45" i="17" s="1"/>
  <c r="AE45" i="17"/>
  <c r="AF45" i="17" s="1"/>
  <c r="AU45" i="17"/>
  <c r="AW45" i="17" s="1"/>
  <c r="AC45" i="17"/>
  <c r="BB54" i="17"/>
  <c r="AU54" i="17"/>
  <c r="AW54" i="17" s="1"/>
  <c r="AH54" i="17"/>
  <c r="AI54" i="17" s="1"/>
  <c r="V54" i="17"/>
  <c r="AE54" i="17"/>
  <c r="AF54" i="17" s="1"/>
  <c r="AQ54" i="17"/>
  <c r="AR54" i="17" s="1"/>
  <c r="AX54" i="17"/>
  <c r="AC54" i="17"/>
  <c r="AN54" i="17"/>
  <c r="AO54" i="17" s="1"/>
  <c r="AK54" i="17"/>
  <c r="AL54" i="17" s="1"/>
  <c r="BB17" i="17"/>
  <c r="V17" i="17"/>
  <c r="AQ17" i="17"/>
  <c r="AR17" i="17" s="1"/>
  <c r="AN17" i="17"/>
  <c r="AO17" i="17" s="1"/>
  <c r="AU17" i="17"/>
  <c r="AW17" i="17" s="1"/>
  <c r="AC17" i="17"/>
  <c r="AK17" i="17"/>
  <c r="AL17" i="17" s="1"/>
  <c r="AX17" i="17"/>
  <c r="AE17" i="17"/>
  <c r="AF17" i="17" s="1"/>
  <c r="AH17" i="17"/>
  <c r="AI17" i="17" s="1"/>
  <c r="BB22" i="17"/>
  <c r="AE22" i="17"/>
  <c r="AF22" i="17" s="1"/>
  <c r="AH22" i="17"/>
  <c r="AI22" i="17" s="1"/>
  <c r="AC22" i="17"/>
  <c r="V22" i="17"/>
  <c r="AU22" i="17"/>
  <c r="AW22" i="17" s="1"/>
  <c r="AQ22" i="17"/>
  <c r="AR22" i="17" s="1"/>
  <c r="AN22" i="17"/>
  <c r="AO22" i="17" s="1"/>
  <c r="AX22" i="17"/>
  <c r="AK22" i="17"/>
  <c r="AL22" i="17" s="1"/>
  <c r="BB34" i="17"/>
  <c r="AC34" i="17"/>
  <c r="AN34" i="17"/>
  <c r="AO34" i="17" s="1"/>
  <c r="AH34" i="17"/>
  <c r="AI34" i="17" s="1"/>
  <c r="AK34" i="17"/>
  <c r="AL34" i="17" s="1"/>
  <c r="AQ34" i="17"/>
  <c r="AR34" i="17" s="1"/>
  <c r="V34" i="17"/>
  <c r="AU34" i="17"/>
  <c r="AW34" i="17" s="1"/>
  <c r="AX34" i="17"/>
  <c r="AE34" i="17"/>
  <c r="AF34" i="17" s="1"/>
  <c r="BB27" i="17"/>
  <c r="AK27" i="17"/>
  <c r="AL27" i="17" s="1"/>
  <c r="AX27" i="17"/>
  <c r="AN27" i="17"/>
  <c r="AO27" i="17" s="1"/>
  <c r="AE27" i="17"/>
  <c r="AF27" i="17" s="1"/>
  <c r="AQ27" i="17"/>
  <c r="AR27" i="17" s="1"/>
  <c r="V27" i="17"/>
  <c r="AU27" i="17"/>
  <c r="AW27" i="17" s="1"/>
  <c r="AH27" i="17"/>
  <c r="AI27" i="17" s="1"/>
  <c r="AC27" i="17"/>
  <c r="BB56" i="17"/>
  <c r="AX56" i="17"/>
  <c r="AC56" i="17"/>
  <c r="V56" i="17"/>
  <c r="AN56" i="17"/>
  <c r="AO56" i="17" s="1"/>
  <c r="AE56" i="17"/>
  <c r="AF56" i="17" s="1"/>
  <c r="AH56" i="17"/>
  <c r="AI56" i="17" s="1"/>
  <c r="AQ56" i="17"/>
  <c r="AR56" i="17" s="1"/>
  <c r="AK56" i="17"/>
  <c r="AL56" i="17" s="1"/>
  <c r="AU56" i="17"/>
  <c r="AW56" i="17" s="1"/>
  <c r="BB20" i="17"/>
  <c r="AH20" i="17"/>
  <c r="AI20" i="17" s="1"/>
  <c r="AK20" i="17"/>
  <c r="AL20" i="17" s="1"/>
  <c r="AU20" i="17"/>
  <c r="AW20" i="17" s="1"/>
  <c r="AC20" i="17"/>
  <c r="AN20" i="17"/>
  <c r="AO20" i="17" s="1"/>
  <c r="AX20" i="17"/>
  <c r="AE20" i="17"/>
  <c r="AF20" i="17" s="1"/>
  <c r="V20" i="17"/>
  <c r="AQ20" i="17"/>
  <c r="AR20" i="17" s="1"/>
  <c r="BB59" i="17"/>
  <c r="AH59" i="17"/>
  <c r="AI59" i="17" s="1"/>
  <c r="V59" i="17"/>
  <c r="AU59" i="17"/>
  <c r="AW59" i="17" s="1"/>
  <c r="AX59" i="17"/>
  <c r="AK59" i="17"/>
  <c r="AL59" i="17" s="1"/>
  <c r="AN59" i="17"/>
  <c r="AO59" i="17" s="1"/>
  <c r="AC59" i="17"/>
  <c r="AQ59" i="17"/>
  <c r="AR59" i="17" s="1"/>
  <c r="AE59" i="17"/>
  <c r="AF59" i="17" s="1"/>
  <c r="BB26" i="17"/>
  <c r="AN26" i="17"/>
  <c r="AO26" i="17" s="1"/>
  <c r="AE26" i="17"/>
  <c r="AF26" i="17" s="1"/>
  <c r="AU26" i="17"/>
  <c r="AW26" i="17" s="1"/>
  <c r="AH26" i="17"/>
  <c r="AI26" i="17" s="1"/>
  <c r="AK26" i="17"/>
  <c r="AL26" i="17" s="1"/>
  <c r="V26" i="17"/>
  <c r="AX26" i="17"/>
  <c r="AQ26" i="17"/>
  <c r="AR26" i="17" s="1"/>
  <c r="AC26" i="17"/>
  <c r="AX14" i="17"/>
  <c r="AC14" i="17"/>
  <c r="AK14" i="17"/>
  <c r="AL14" i="17" s="1"/>
  <c r="AU14" i="17"/>
  <c r="AE14" i="17"/>
  <c r="AF14" i="17" s="1"/>
  <c r="AN14" i="17"/>
  <c r="AO14" i="17" s="1"/>
  <c r="AQ14" i="17"/>
  <c r="AR14" i="17" s="1"/>
  <c r="V14" i="17"/>
  <c r="BB14" i="17"/>
  <c r="AH14" i="17"/>
  <c r="AI14" i="17" s="1"/>
  <c r="BB23" i="17"/>
  <c r="AC23" i="17"/>
  <c r="AX23" i="17"/>
  <c r="AH23" i="17"/>
  <c r="AI23" i="17" s="1"/>
  <c r="AK23" i="17"/>
  <c r="AL23" i="17" s="1"/>
  <c r="AU23" i="17"/>
  <c r="AW23" i="17" s="1"/>
  <c r="AQ23" i="17"/>
  <c r="AR23" i="17" s="1"/>
  <c r="V23" i="17"/>
  <c r="AE23" i="17"/>
  <c r="AF23" i="17" s="1"/>
  <c r="AN23" i="17"/>
  <c r="AO23" i="17" s="1"/>
  <c r="BB24" i="17"/>
  <c r="AE24" i="17"/>
  <c r="AF24" i="17" s="1"/>
  <c r="AK24" i="17"/>
  <c r="AL24" i="17" s="1"/>
  <c r="AX24" i="17"/>
  <c r="AN24" i="17"/>
  <c r="AO24" i="17" s="1"/>
  <c r="AC24" i="17"/>
  <c r="AQ24" i="17"/>
  <c r="AR24" i="17" s="1"/>
  <c r="AH24" i="17"/>
  <c r="AI24" i="17" s="1"/>
  <c r="AU24" i="17"/>
  <c r="AW24" i="17" s="1"/>
  <c r="V24" i="17"/>
  <c r="BB28" i="17"/>
  <c r="AE28" i="17"/>
  <c r="AF28" i="17" s="1"/>
  <c r="V28" i="17"/>
  <c r="AU28" i="17"/>
  <c r="AW28" i="17" s="1"/>
  <c r="AX28" i="17"/>
  <c r="AN28" i="17"/>
  <c r="AO28" i="17" s="1"/>
  <c r="AK28" i="17"/>
  <c r="AL28" i="17" s="1"/>
  <c r="AC28" i="17"/>
  <c r="AH28" i="17"/>
  <c r="AI28" i="17" s="1"/>
  <c r="AQ28" i="17"/>
  <c r="AR28" i="17" s="1"/>
  <c r="BB51" i="17"/>
  <c r="AQ51" i="17"/>
  <c r="AR51" i="17" s="1"/>
  <c r="AN51" i="17"/>
  <c r="AO51" i="17" s="1"/>
  <c r="V51" i="17"/>
  <c r="AE51" i="17"/>
  <c r="AF51" i="17" s="1"/>
  <c r="AK51" i="17"/>
  <c r="AL51" i="17" s="1"/>
  <c r="AU51" i="17"/>
  <c r="AW51" i="17" s="1"/>
  <c r="AH51" i="17"/>
  <c r="AI51" i="17" s="1"/>
  <c r="AC51" i="17"/>
  <c r="AX51" i="17"/>
  <c r="BB68" i="17"/>
  <c r="AU68" i="17"/>
  <c r="AW68" i="17" s="1"/>
  <c r="AX68" i="17"/>
  <c r="AH68" i="17"/>
  <c r="AI68" i="17" s="1"/>
  <c r="V68" i="17"/>
  <c r="AQ68" i="17"/>
  <c r="AR68" i="17" s="1"/>
  <c r="AK68" i="17"/>
  <c r="AL68" i="17" s="1"/>
  <c r="AE68" i="17"/>
  <c r="AF68" i="17" s="1"/>
  <c r="AC68" i="17"/>
  <c r="AN68" i="17"/>
  <c r="AO68" i="17" s="1"/>
  <c r="BB67" i="17"/>
  <c r="AU67" i="17"/>
  <c r="AW67" i="17" s="1"/>
  <c r="V67" i="17"/>
  <c r="AK67" i="17"/>
  <c r="AL67" i="17" s="1"/>
  <c r="AE67" i="17"/>
  <c r="AF67" i="17" s="1"/>
  <c r="AX67" i="17"/>
  <c r="AC67" i="17"/>
  <c r="AQ67" i="17"/>
  <c r="AR67" i="17" s="1"/>
  <c r="AH67" i="17"/>
  <c r="AI67" i="17" s="1"/>
  <c r="AN67" i="17"/>
  <c r="AO67" i="17" s="1"/>
  <c r="AT21" i="17"/>
  <c r="BC21" i="17" s="1"/>
  <c r="BD21" i="17" s="1"/>
  <c r="AT33" i="17" l="1"/>
  <c r="BC33" i="17" s="1"/>
  <c r="BD33" i="17" s="1"/>
  <c r="AT31" i="17"/>
  <c r="BC31" i="17" s="1"/>
  <c r="BD31" i="17" s="1"/>
  <c r="AT39" i="17"/>
  <c r="BC39" i="17" s="1"/>
  <c r="BD39" i="17" s="1"/>
  <c r="AT68" i="17"/>
  <c r="BC68" i="17" s="1"/>
  <c r="BD68" i="17" s="1"/>
  <c r="AT45" i="17"/>
  <c r="BC45" i="17" s="1"/>
  <c r="BD45" i="17" s="1"/>
  <c r="AT55" i="17"/>
  <c r="BC55" i="17" s="1"/>
  <c r="BD55" i="17" s="1"/>
  <c r="AT44" i="17"/>
  <c r="BC44" i="17" s="1"/>
  <c r="BD44" i="17" s="1"/>
  <c r="AT38" i="17"/>
  <c r="BC38" i="17" s="1"/>
  <c r="BD38" i="17" s="1"/>
  <c r="AT20" i="17"/>
  <c r="BC20" i="17" s="1"/>
  <c r="BD20" i="17" s="1"/>
  <c r="AT66" i="17"/>
  <c r="BC66" i="17" s="1"/>
  <c r="BD66" i="17" s="1"/>
  <c r="AT30" i="17"/>
  <c r="BC30" i="17" s="1"/>
  <c r="BD30" i="17" s="1"/>
  <c r="AT37" i="17"/>
  <c r="BC37" i="17" s="1"/>
  <c r="BD37" i="17" s="1"/>
  <c r="AT29" i="17"/>
  <c r="BC29" i="17" s="1"/>
  <c r="BD29" i="17" s="1"/>
  <c r="AT47" i="17"/>
  <c r="BC47" i="17" s="1"/>
  <c r="BD47" i="17" s="1"/>
  <c r="AT59" i="17"/>
  <c r="BC59" i="17" s="1"/>
  <c r="BD59" i="17" s="1"/>
  <c r="AT51" i="17"/>
  <c r="BC51" i="17" s="1"/>
  <c r="BD51" i="17" s="1"/>
  <c r="AT58" i="17"/>
  <c r="BC58" i="17" s="1"/>
  <c r="BD58" i="17" s="1"/>
  <c r="AT15" i="17"/>
  <c r="BC15" i="17" s="1"/>
  <c r="BD15" i="17" s="1"/>
  <c r="AT19" i="17"/>
  <c r="BC19" i="17" s="1"/>
  <c r="BD19" i="17" s="1"/>
  <c r="AT56" i="17"/>
  <c r="BC56" i="17" s="1"/>
  <c r="BD56" i="17" s="1"/>
  <c r="AT34" i="17"/>
  <c r="BC34" i="17" s="1"/>
  <c r="BD34" i="17" s="1"/>
  <c r="AT52" i="17"/>
  <c r="BC52" i="17" s="1"/>
  <c r="BD52" i="17" s="1"/>
  <c r="AT46" i="17"/>
  <c r="BC46" i="17" s="1"/>
  <c r="BD46" i="17" s="1"/>
  <c r="AC73" i="17"/>
  <c r="AT71" i="17"/>
  <c r="BC71" i="17" s="1"/>
  <c r="BD71" i="17" s="1"/>
  <c r="AT63" i="17"/>
  <c r="BC63" i="17" s="1"/>
  <c r="BD63" i="17" s="1"/>
  <c r="AT69" i="17"/>
  <c r="BC69" i="17" s="1"/>
  <c r="BD69" i="17" s="1"/>
  <c r="AT22" i="17"/>
  <c r="BC22" i="17" s="1"/>
  <c r="BD22" i="17" s="1"/>
  <c r="AT23" i="17"/>
  <c r="BC23" i="17" s="1"/>
  <c r="BD23" i="17" s="1"/>
  <c r="AW14" i="17"/>
  <c r="AU73" i="17"/>
  <c r="AW73" i="17" s="1"/>
  <c r="AT16" i="17"/>
  <c r="BC16" i="17" s="1"/>
  <c r="BD16" i="17" s="1"/>
  <c r="AT41" i="17"/>
  <c r="BC41" i="17" s="1"/>
  <c r="BD41" i="17" s="1"/>
  <c r="AT57" i="17"/>
  <c r="BC57" i="17" s="1"/>
  <c r="BD57" i="17" s="1"/>
  <c r="AT65" i="17"/>
  <c r="BC65" i="17" s="1"/>
  <c r="BD65" i="17" s="1"/>
  <c r="AX73" i="17"/>
  <c r="AT72" i="17"/>
  <c r="BC72" i="17" s="1"/>
  <c r="BD72" i="17" s="1"/>
  <c r="AT42" i="17"/>
  <c r="BC42" i="17" s="1"/>
  <c r="BD42" i="17" s="1"/>
  <c r="AT67" i="17"/>
  <c r="BC67" i="17" s="1"/>
  <c r="BD67" i="17" s="1"/>
  <c r="AT27" i="17"/>
  <c r="BC27" i="17" s="1"/>
  <c r="BD27" i="17" s="1"/>
  <c r="AT54" i="17"/>
  <c r="BC54" i="17" s="1"/>
  <c r="BD54" i="17" s="1"/>
  <c r="AT61" i="17"/>
  <c r="BC61" i="17" s="1"/>
  <c r="BD61" i="17" s="1"/>
  <c r="AT40" i="17"/>
  <c r="BC40" i="17" s="1"/>
  <c r="BD40" i="17" s="1"/>
  <c r="AT50" i="17"/>
  <c r="BC50" i="17" s="1"/>
  <c r="BD50" i="17" s="1"/>
  <c r="AT25" i="17"/>
  <c r="BC25" i="17" s="1"/>
  <c r="BD25" i="17" s="1"/>
  <c r="AQ73" i="17"/>
  <c r="AR73" i="17" s="1"/>
  <c r="AN73" i="17"/>
  <c r="AO73" i="17" s="1"/>
  <c r="AK73" i="17"/>
  <c r="AL73" i="17" s="1"/>
  <c r="AE73" i="17"/>
  <c r="AF73" i="17" s="1"/>
  <c r="AH73" i="17"/>
  <c r="AI73" i="17" s="1"/>
  <c r="AT28" i="17"/>
  <c r="BC28" i="17" s="1"/>
  <c r="BD28" i="17" s="1"/>
  <c r="AT26" i="17"/>
  <c r="BC26" i="17" s="1"/>
  <c r="BD26" i="17" s="1"/>
  <c r="AT43" i="17"/>
  <c r="BC43" i="17" s="1"/>
  <c r="BD43" i="17" s="1"/>
  <c r="AT35" i="17"/>
  <c r="BC35" i="17" s="1"/>
  <c r="BD35" i="17" s="1"/>
  <c r="AT18" i="17"/>
  <c r="BC18" i="17" s="1"/>
  <c r="BD18" i="17" s="1"/>
  <c r="V73" i="17"/>
  <c r="AT62" i="17"/>
  <c r="BC62" i="17" s="1"/>
  <c r="BD62" i="17" s="1"/>
  <c r="AT17" i="17"/>
  <c r="BC17" i="17" s="1"/>
  <c r="BD17" i="17" s="1"/>
  <c r="AT36" i="17"/>
  <c r="BC36" i="17" s="1"/>
  <c r="BD36" i="17" s="1"/>
  <c r="AT49" i="17"/>
  <c r="BC49" i="17" s="1"/>
  <c r="BD49" i="17" s="1"/>
  <c r="AT70" i="17"/>
  <c r="BC70" i="17" s="1"/>
  <c r="BD70" i="17" s="1"/>
  <c r="AT24" i="17"/>
  <c r="BC24" i="17" s="1"/>
  <c r="BD24" i="17" s="1"/>
  <c r="AT14" i="17"/>
  <c r="AT64" i="17"/>
  <c r="BC64" i="17" s="1"/>
  <c r="BD64" i="17" s="1"/>
  <c r="AT53" i="17"/>
  <c r="BC53" i="17" s="1"/>
  <c r="BD53" i="17" s="1"/>
  <c r="AT48" i="17"/>
  <c r="BC48" i="17" s="1"/>
  <c r="BD48" i="17" s="1"/>
  <c r="AT60" i="17"/>
  <c r="BC60" i="17" s="1"/>
  <c r="BD60" i="17" s="1"/>
  <c r="BC14" i="17" l="1"/>
  <c r="BD14" i="17" s="1"/>
  <c r="AJ76" i="17"/>
  <c r="AT32" i="17" s="1"/>
  <c r="BC32" i="17" s="1"/>
  <c r="BD32" i="17" s="1"/>
  <c r="AT73" i="17" l="1"/>
  <c r="BC73" i="17" s="1"/>
  <c r="BD73" i="17" s="1"/>
</calcChain>
</file>

<file path=xl/sharedStrings.xml><?xml version="1.0" encoding="utf-8"?>
<sst xmlns="http://schemas.openxmlformats.org/spreadsheetml/2006/main" count="43130" uniqueCount="891">
  <si>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</si>
  <si>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</si>
  <si>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</si>
  <si>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</si>
  <si>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</si>
  <si>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</si>
  <si>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</si>
  <si>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</si>
  <si>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</si>
  <si>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</si>
  <si>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</si>
  <si>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</si>
  <si>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</si>
  <si>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</si>
  <si>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</si>
  <si>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</si>
  <si>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</si>
  <si>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</si>
  <si>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</si>
  <si>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</si>
  <si>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</si>
  <si>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</si>
  <si>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</si>
  <si>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</si>
  <si>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</si>
  <si>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</si>
  <si>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</si>
  <si>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</si>
  <si>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</si>
  <si>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</si>
  <si>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</si>
  <si>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</si>
  <si>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</si>
  <si>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</si>
  <si>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</si>
  <si>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</si>
  <si>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</si>
  <si>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</si>
  <si>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</si>
  <si>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</si>
  <si>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</si>
  <si>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</si>
  <si>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</si>
  <si>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</si>
  <si>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</si>
  <si>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</si>
  <si>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</si>
  <si>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</si>
  <si>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</si>
  <si>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</si>
  <si>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</si>
  <si>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</si>
  <si>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</si>
  <si>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</si>
  <si>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</si>
  <si>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</si>
  <si>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</si>
  <si>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</si>
  <si>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</si>
  <si>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</si>
  <si>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</si>
  <si>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</si>
  <si>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</si>
  <si>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</si>
  <si>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</si>
  <si>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</si>
  <si>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</si>
  <si>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</si>
  <si>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</si>
  <si>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</si>
  <si>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</si>
  <si>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</si>
  <si>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</si>
  <si>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</si>
  <si>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</si>
  <si>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</si>
  <si>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</si>
  <si>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</si>
  <si>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</si>
  <si>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</si>
  <si>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</si>
  <si>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</si>
  <si>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</si>
  <si>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</si>
  <si>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</si>
  <si>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</si>
  <si>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</si>
  <si>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</si>
  <si>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</si>
  <si>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</si>
  <si>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</si>
  <si>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</si>
  <si>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</si>
  <si>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</si>
  <si>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</si>
  <si>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</si>
  <si>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</si>
  <si>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</si>
  <si>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</si>
  <si>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</si>
  <si>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</si>
  <si>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</si>
  <si>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</si>
  <si>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</si>
  <si>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</si>
  <si>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</si>
  <si>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</si>
  <si>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</si>
  <si>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</si>
  <si>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</si>
  <si>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</si>
  <si>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</si>
  <si>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</si>
  <si>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</si>
  <si>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</si>
  <si>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</si>
  <si>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</si>
  <si>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</si>
  <si>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</si>
  <si>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</si>
  <si>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</si>
  <si>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</si>
  <si>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</si>
  <si>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</si>
  <si>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</si>
  <si>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</si>
  <si>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</si>
  <si>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</si>
  <si>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</si>
  <si>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</si>
  <si>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</si>
  <si>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</si>
  <si>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</si>
  <si>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</si>
  <si>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</si>
  <si>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</si>
  <si>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</si>
  <si>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</si>
  <si>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</si>
  <si>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</si>
  <si>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</si>
  <si>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</si>
  <si>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</si>
  <si>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</si>
  <si>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</si>
  <si>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</si>
  <si>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</si>
  <si>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</si>
  <si>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</si>
  <si>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</si>
  <si>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</si>
  <si>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</si>
  <si>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</si>
  <si>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</si>
  <si>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</si>
  <si>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</si>
  <si>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</si>
  <si>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</si>
  <si>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</si>
  <si>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</si>
  <si>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</si>
  <si>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</si>
  <si>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</si>
  <si>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</si>
  <si>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</si>
  <si>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</si>
  <si>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</si>
  <si>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</si>
  <si>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</si>
  <si>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</si>
  <si>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</si>
  <si>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</si>
  <si>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</si>
  <si>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</si>
  <si>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</si>
  <si>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</si>
  <si>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</si>
  <si>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</si>
  <si>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</si>
  <si>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</si>
  <si>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</si>
  <si>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</si>
  <si>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</si>
  <si>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</si>
  <si>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</si>
  <si>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</si>
  <si>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</si>
  <si>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</si>
  <si>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</si>
  <si>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</si>
  <si>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</si>
  <si>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</si>
  <si>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</si>
  <si>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</si>
  <si>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</si>
  <si>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</si>
  <si>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</si>
  <si>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</si>
  <si>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</si>
  <si>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</si>
  <si>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</si>
  <si>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</si>
  <si>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</si>
  <si>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</si>
  <si>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</si>
  <si>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</si>
  <si>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</si>
  <si>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</si>
  <si>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</si>
  <si>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</si>
  <si>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</si>
  <si>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</si>
  <si>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</si>
  <si>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</si>
  <si>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</si>
  <si>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</si>
  <si>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</si>
  <si>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</si>
  <si>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</si>
  <si>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</si>
  <si>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</si>
  <si>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</si>
  <si>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</si>
  <si>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</si>
  <si>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</si>
  <si>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</si>
  <si>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</si>
  <si>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</si>
  <si>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</si>
  <si>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</si>
  <si>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</si>
  <si>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</si>
  <si>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</si>
  <si>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</si>
  <si>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</si>
  <si>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</si>
  <si>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</si>
  <si>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</si>
  <si>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</si>
  <si>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</si>
  <si>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</si>
  <si>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</si>
  <si>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</si>
  <si>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</si>
  <si>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</si>
  <si>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</si>
  <si>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</si>
  <si>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</si>
  <si>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</si>
  <si>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</si>
  <si>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</si>
  <si>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</si>
  <si>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</si>
  <si>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</si>
  <si>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</si>
  <si>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</si>
  <si>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</si>
  <si>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</si>
  <si>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</si>
  <si>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</si>
  <si>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</si>
  <si>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</si>
  <si>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</si>
  <si>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</si>
  <si>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</si>
  <si>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</si>
  <si>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</si>
  <si>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</si>
  <si>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</si>
  <si>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</si>
  <si>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</si>
  <si>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</si>
  <si>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</si>
  <si>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</si>
  <si>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</si>
  <si>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</si>
  <si>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</si>
  <si>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</si>
  <si>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</si>
  <si>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</si>
  <si>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</si>
  <si>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</si>
  <si>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</si>
  <si>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</si>
  <si>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</si>
  <si>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</si>
  <si>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</si>
  <si>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</si>
  <si>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</si>
  <si>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</si>
  <si>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</si>
  <si>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</si>
  <si>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</si>
  <si>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</si>
  <si>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</si>
  <si>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</si>
  <si>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</si>
  <si>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</si>
  <si>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</si>
  <si>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</si>
  <si>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</si>
  <si>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</si>
  <si>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</si>
  <si>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</si>
  <si>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</si>
  <si>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</si>
  <si>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</si>
  <si>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</si>
  <si>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</si>
  <si>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</si>
  <si>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</si>
  <si>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</si>
  <si>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</si>
  <si>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</si>
  <si>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</si>
  <si>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</si>
  <si>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</si>
  <si>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</si>
  <si>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</si>
  <si>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</si>
  <si>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</si>
  <si>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</si>
  <si>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</si>
  <si>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</si>
  <si>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</si>
  <si>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</si>
  <si>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</si>
  <si>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</si>
  <si>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</si>
  <si>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</si>
  <si>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</si>
  <si>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</si>
  <si>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</si>
  <si>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</si>
  <si>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</si>
  <si>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</si>
  <si>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</si>
  <si>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</si>
  <si>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</si>
  <si>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</si>
  <si>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</si>
  <si>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</si>
  <si>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</si>
  <si>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</si>
  <si>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</si>
  <si>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</si>
  <si>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</si>
  <si>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</si>
  <si>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</si>
  <si>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</si>
  <si>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</si>
  <si>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</si>
  <si>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</si>
  <si>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</si>
  <si>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</si>
  <si>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</si>
  <si>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</si>
  <si>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</si>
  <si>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</si>
  <si>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</si>
  <si>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</si>
  <si>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</si>
  <si>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</si>
  <si>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</si>
  <si>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</si>
  <si>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</si>
  <si>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</si>
  <si>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</si>
  <si>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</si>
  <si>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</si>
  <si>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</si>
  <si>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</si>
  <si>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</si>
  <si>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</si>
  <si>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</si>
  <si>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</si>
  <si>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</si>
  <si>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</si>
  <si>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</si>
  <si>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</si>
  <si>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</si>
  <si>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</si>
  <si>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</si>
  <si>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</si>
  <si>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</si>
  <si>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</si>
  <si>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</si>
  <si>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</si>
  <si>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</si>
  <si>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</si>
  <si>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</si>
  <si>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</si>
  <si>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</si>
  <si>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</si>
  <si>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</si>
  <si>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</si>
  <si>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</si>
  <si>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</si>
  <si>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</si>
  <si>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</si>
  <si>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</si>
  <si>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</si>
  <si>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</si>
  <si>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</si>
  <si>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</si>
  <si>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</si>
  <si>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</si>
  <si>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</si>
  <si>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</si>
  <si>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</si>
  <si>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</si>
  <si>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</si>
  <si>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</si>
  <si>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</si>
  <si>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</si>
  <si>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</si>
  <si>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</si>
  <si>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</si>
  <si>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</si>
  <si>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</si>
  <si>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</si>
  <si>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</si>
  <si>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</si>
  <si>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</si>
  <si>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</si>
  <si>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</si>
  <si>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</si>
  <si>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</si>
  <si>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</si>
  <si>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</si>
  <si>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</si>
  <si>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</si>
  <si>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</si>
  <si>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</si>
  <si>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</si>
  <si>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</si>
  <si>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</si>
  <si>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</si>
  <si>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</si>
  <si>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</si>
  <si>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</si>
  <si>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</si>
  <si>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</si>
  <si>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</si>
  <si>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</si>
  <si>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</si>
  <si>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</si>
  <si>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</si>
  <si>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</si>
  <si>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</si>
  <si>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</si>
  <si>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</si>
  <si>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</si>
  <si>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</si>
  <si>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</si>
  <si>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</si>
  <si>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</si>
  <si>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</si>
  <si>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</si>
  <si>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</si>
  <si>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</si>
  <si>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</si>
  <si>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</si>
  <si>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</si>
  <si>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</si>
  <si>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</si>
  <si>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</si>
  <si>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</si>
  <si>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</si>
  <si>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</si>
  <si>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</si>
  <si>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</si>
  <si>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</si>
  <si>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</si>
  <si>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</si>
  <si>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</si>
  <si>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</si>
  <si>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</si>
  <si>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</si>
  <si>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</si>
  <si>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</si>
  <si>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</si>
  <si>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</si>
  <si>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</si>
  <si>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</si>
  <si>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</si>
  <si>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</si>
  <si>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</si>
  <si>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</si>
  <si>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</si>
  <si>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</si>
  <si>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</si>
  <si>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</si>
  <si>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</si>
  <si>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</si>
  <si>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</si>
  <si>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</si>
  <si>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</si>
  <si>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</si>
  <si>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</si>
  <si>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</si>
  <si>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</si>
  <si>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</si>
  <si>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</si>
  <si>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</si>
  <si>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</si>
  <si>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</si>
  <si>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</si>
  <si>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</si>
  <si>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</si>
  <si>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</si>
  <si>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</si>
  <si>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</si>
  <si>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</si>
  <si>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</si>
  <si>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</si>
  <si>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</si>
  <si>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</si>
  <si>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</si>
  <si>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</si>
  <si>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</si>
  <si>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</si>
  <si>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</si>
  <si>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</si>
  <si>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</si>
  <si>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</si>
  <si>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</si>
  <si>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</si>
  <si>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</si>
  <si>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</si>
  <si>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</si>
  <si>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</si>
  <si>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</si>
  <si>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</si>
  <si>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</si>
  <si>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</si>
  <si>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</si>
  <si>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</si>
  <si>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</si>
  <si>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</si>
  <si>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</si>
  <si>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</si>
  <si>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</si>
  <si>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</si>
  <si>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</si>
  <si>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</si>
  <si>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</si>
  <si>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</si>
  <si>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</si>
  <si>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</si>
  <si>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</si>
  <si>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</si>
  <si>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</si>
  <si>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</si>
  <si>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</si>
  <si>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</si>
  <si>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</si>
  <si>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</si>
  <si>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</si>
  <si>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</si>
  <si>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</si>
  <si>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</si>
  <si>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</si>
  <si>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</si>
  <si>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</si>
  <si>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</si>
  <si>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</si>
  <si>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</si>
  <si>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</si>
  <si>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</si>
  <si>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</si>
  <si>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</si>
  <si>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</si>
  <si>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</si>
  <si>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</si>
  <si>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</si>
  <si>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</si>
  <si>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</si>
  <si>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</si>
  <si>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</si>
  <si>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</si>
  <si>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</si>
  <si>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</si>
  <si>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</si>
  <si>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</si>
  <si>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</si>
  <si>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</si>
  <si>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</si>
  <si>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</si>
  <si>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</si>
  <si>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</si>
  <si>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</si>
  <si>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</si>
  <si>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</si>
  <si>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</si>
  <si>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</si>
  <si>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</si>
  <si>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</si>
  <si>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</si>
  <si>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</si>
  <si>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</si>
  <si>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</si>
  <si>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</si>
  <si>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</si>
  <si>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</si>
  <si>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</si>
  <si>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</si>
  <si>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</si>
  <si>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</si>
  <si>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</si>
  <si>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</si>
  <si>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</si>
  <si>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</si>
  <si>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</si>
  <si>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</si>
  <si>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</si>
  <si>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</si>
  <si>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</si>
  <si>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</si>
  <si>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</si>
  <si>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</si>
  <si>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</si>
  <si>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</si>
  <si>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</si>
  <si>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</si>
  <si>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</si>
  <si>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</si>
  <si>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</si>
  <si>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</si>
  <si>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</si>
  <si>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</si>
  <si>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</si>
  <si>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</si>
  <si>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</si>
  <si>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</si>
  <si>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</si>
  <si>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</si>
  <si>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</si>
  <si>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</si>
  <si>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</si>
  <si>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</si>
  <si>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</si>
  <si>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</si>
  <si>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</si>
  <si>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</si>
  <si>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</si>
  <si>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</si>
  <si>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</si>
  <si>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</si>
  <si>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</si>
  <si>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</si>
  <si>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</si>
  <si>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</si>
  <si>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</si>
  <si>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</si>
  <si>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</si>
  <si>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</si>
  <si>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</si>
  <si>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</si>
  <si>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</si>
  <si>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</si>
  <si>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</si>
  <si>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</si>
  <si>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</si>
  <si>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</si>
  <si>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</si>
  <si>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</si>
  <si>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</si>
  <si>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</si>
  <si>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</si>
  <si>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</si>
  <si>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</si>
  <si>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</si>
  <si>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</si>
  <si>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</si>
  <si>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</si>
  <si>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</si>
  <si>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</si>
  <si>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</si>
  <si>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</si>
  <si>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</si>
  <si>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</si>
  <si>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</si>
  <si>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</si>
  <si>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</si>
  <si>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</si>
  <si>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</si>
  <si>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</si>
  <si>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</si>
  <si>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</si>
  <si>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</si>
  <si>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</si>
  <si>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</si>
  <si>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</si>
  <si>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</si>
  <si>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</si>
  <si>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</si>
  <si>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</si>
  <si>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</si>
  <si>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</si>
  <si>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</si>
  <si>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</si>
  <si>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</si>
  <si>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</si>
  <si>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</si>
  <si>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</si>
  <si>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</si>
  <si>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</si>
  <si>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</si>
  <si>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</si>
  <si>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</si>
  <si>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</si>
  <si>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</si>
  <si>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</si>
  <si>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</si>
  <si>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</si>
  <si>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</si>
  <si>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</si>
  <si>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</si>
  <si>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</si>
  <si>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</si>
  <si>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</si>
  <si>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</si>
  <si>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</si>
  <si>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</si>
  <si>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</si>
  <si>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</si>
  <si>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</si>
  <si>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</si>
  <si>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</si>
  <si>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</si>
  <si>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</si>
  <si>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</si>
  <si>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</si>
  <si>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</si>
  <si>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</si>
  <si>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</si>
  <si>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</si>
  <si>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</si>
  <si>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</si>
  <si>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</si>
  <si>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</si>
  <si>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</si>
  <si>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</si>
  <si>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</si>
  <si>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</si>
  <si>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</si>
  <si>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</si>
  <si>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</si>
  <si>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</si>
  <si>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</si>
  <si>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</si>
  <si>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</si>
  <si>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</si>
  <si>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</si>
  <si>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</si>
  <si>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</si>
  <si>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</si>
  <si>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</si>
  <si>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</si>
  <si>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</si>
  <si>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</si>
  <si>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</si>
  <si>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</si>
  <si>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</si>
  <si>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</si>
  <si>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</si>
  <si>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</si>
  <si>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</si>
  <si>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</si>
  <si>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</si>
  <si>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</si>
  <si>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</si>
  <si>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</si>
  <si>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</si>
  <si>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</si>
  <si>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</si>
  <si>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</si>
  <si>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</si>
  <si>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</si>
  <si>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</si>
  <si>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</si>
  <si>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</si>
  <si>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</si>
  <si>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</si>
  <si>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</si>
  <si>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</si>
  <si>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</si>
  <si>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</si>
  <si>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</si>
  <si>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</si>
  <si>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</si>
  <si>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</si>
  <si>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</si>
  <si>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</si>
  <si>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</si>
  <si>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</si>
  <si>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</si>
  <si>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</si>
  <si>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</si>
  <si>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</si>
  <si>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</si>
  <si>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</si>
  <si>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</si>
  <si>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</si>
  <si>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</si>
  <si>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</si>
  <si>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</si>
  <si>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</si>
  <si>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</si>
  <si>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</si>
  <si>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</si>
  <si>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</si>
  <si>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</si>
  <si>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</si>
  <si>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</si>
  <si>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</si>
  <si>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</si>
  <si>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</si>
  <si>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</si>
  <si>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</si>
  <si>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</si>
  <si>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</si>
  <si>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</si>
  <si>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</si>
  <si>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</si>
  <si>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</si>
  <si>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</si>
  <si>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</si>
  <si>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</si>
  <si>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</si>
  <si>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</si>
  <si>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</si>
  <si>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</si>
  <si>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</si>
  <si>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</si>
  <si>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</si>
  <si>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</si>
  <si>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</si>
  <si>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</si>
  <si>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</si>
  <si>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</si>
  <si>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</si>
  <si>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</si>
  <si>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</si>
  <si>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</si>
  <si>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</si>
  <si>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</si>
  <si>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</si>
  <si>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</si>
  <si>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</si>
  <si>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</si>
  <si>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</si>
  <si>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</si>
  <si>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</si>
  <si>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</si>
  <si>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</si>
  <si>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</si>
  <si>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</si>
  <si>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</si>
  <si>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</si>
  <si>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</si>
  <si>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</si>
  <si>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</si>
  <si>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</si>
  <si>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</si>
  <si>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</si>
  <si>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</si>
  <si>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</si>
  <si>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</si>
  <si>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</si>
  <si>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</si>
  <si>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</si>
  <si>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</si>
  <si>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</si>
  <si>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</si>
  <si>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</si>
  <si>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</si>
  <si>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</si>
  <si>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</si>
  <si>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</si>
  <si>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</si>
  <si>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</si>
  <si>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</si>
  <si>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</si>
  <si>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</si>
  <si>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</si>
  <si>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B*$1,115,187,627</t>
  </si>
  <si>
    <t xml:space="preserve">Column C displays the estimated component allocation amount based on growth funds.  This is equal to Column B multiplied by $1,115,187,627.
</t>
  </si>
  <si>
    <t xml:space="preserve">Column E displays the estimated distribution for FY 2021-22. This is equal to the sum of Column C and Column D.
</t>
  </si>
  <si>
    <t xml:space="preserve">Enclosure 11 explains the FY 2021-22 component allocation percentage for each county.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</si>
</sst>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69"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3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50">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2" fontId="59" fillId="0" borderId="0" xfId="14" applyNumberFormat="1" applyFont="1" applyBorder="1" applyAlignment="1"/>
    <xf numFmtId="2" fontId="59" fillId="0" borderId="3" xfId="14" applyNumberFormat="1" applyFont="1" applyBorder="1" applyAlignment="1"/>
    <xf numFmtId="0" fontId="12" fillId="0" borderId="0" xfId="14" applyFont="1" applyBorder="1"/>
    <xf numFmtId="167" fontId="12" fillId="0" borderId="0" xfId="14" applyNumberFormat="1" applyFont="1" applyBorder="1"/>
    <xf numFmtId="0" fontId="12" fillId="0" borderId="0" xfId="14" applyFont="1" applyFill="1" applyBorder="1"/>
    <xf numFmtId="0" fontId="12" fillId="0" borderId="0" xfId="14" applyFont="1" applyFill="1"/>
    <xf numFmtId="0" fontId="12" fillId="5" borderId="0" xfId="14" applyFont="1" applyFill="1"/>
    <xf numFmtId="3" fontId="12" fillId="5" borderId="0" xfId="14" applyNumberFormat="1" applyFont="1" applyFill="1"/>
    <xf numFmtId="0" fontId="12" fillId="0" borderId="0" xfId="14" applyFont="1"/>
    <xf numFmtId="0" fontId="59" fillId="0" borderId="0" xfId="14" applyFont="1" applyBorder="1" applyAlignment="1">
      <alignment horizontal="center"/>
    </xf>
    <xf numFmtId="0" fontId="59" fillId="5" borderId="0" xfId="14" applyFont="1" applyFill="1" applyBorder="1" applyAlignment="1">
      <alignment horizontal="center"/>
    </xf>
    <xf numFmtId="0" fontId="59" fillId="0" borderId="127" xfId="14" applyFont="1" applyBorder="1" applyAlignment="1">
      <alignment horizontal="center" wrapText="1"/>
    </xf>
    <xf numFmtId="0" fontId="59" fillId="0" borderId="2" xfId="14" applyFont="1" applyFill="1" applyBorder="1" applyAlignment="1">
      <alignment horizontal="center" wrapText="1"/>
    </xf>
    <xf numFmtId="0" fontId="59" fillId="10" borderId="2" xfId="14" applyFont="1" applyFill="1" applyBorder="1" applyAlignment="1">
      <alignment horizontal="center" wrapText="1"/>
    </xf>
    <xf numFmtId="0" fontId="59" fillId="0" borderId="122" xfId="14" applyFont="1" applyFill="1" applyBorder="1" applyAlignment="1">
      <alignment horizontal="center" wrapText="1"/>
    </xf>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20" xfId="14" applyFont="1" applyBorder="1"/>
    <xf numFmtId="9" fontId="12" fillId="0" borderId="111" xfId="14" applyNumberFormat="1" applyFont="1" applyFill="1" applyBorder="1" applyAlignment="1">
      <alignment horizontal="center"/>
    </xf>
    <xf numFmtId="0" fontId="12" fillId="0" borderId="111" xfId="14" applyFont="1" applyFill="1" applyBorder="1"/>
    <xf numFmtId="0" fontId="12" fillId="0" borderId="111" xfId="14" applyFont="1" applyBorder="1"/>
    <xf numFmtId="0" fontId="12" fillId="0" borderId="9" xfId="14" applyFont="1" applyFill="1" applyBorder="1"/>
    <xf numFmtId="0" fontId="12" fillId="5" borderId="5" xfId="14" applyFont="1" applyFill="1" applyBorder="1"/>
    <xf numFmtId="3" fontId="12" fillId="5" borderId="0" xfId="14" applyNumberFormat="1" applyFont="1" applyFill="1" applyBorder="1"/>
    <xf numFmtId="0" fontId="12" fillId="5" borderId="9" xfId="14" applyFont="1" applyFill="1" applyBorder="1"/>
    <xf numFmtId="0" fontId="12" fillId="5" borderId="0" xfId="14" applyFont="1" applyFill="1" applyBorder="1"/>
    <xf numFmtId="0" fontId="12" fillId="0" borderId="24" xfId="14" applyFont="1" applyBorder="1"/>
    <xf numFmtId="0" fontId="12" fillId="0" borderId="111" xfId="14" applyNumberFormat="1" applyFont="1" applyFill="1" applyBorder="1" applyAlignment="1">
      <alignment horizontal="center"/>
    </xf>
    <xf numFmtId="1" fontId="12" fillId="0" borderId="111" xfId="14" applyNumberFormat="1" applyFont="1" applyFill="1" applyBorder="1" applyAlignment="1">
      <alignment horizontal="center"/>
    </xf>
    <xf numFmtId="0" fontId="12" fillId="0" borderId="115" xfId="14" applyFont="1" applyBorder="1"/>
    <xf numFmtId="0" fontId="12" fillId="0" borderId="111" xfId="14" applyFont="1" applyBorder="1" applyAlignment="1">
      <alignment horizontal="center"/>
    </xf>
    <xf numFmtId="0" fontId="12" fillId="0" borderId="121" xfId="14" applyFont="1" applyBorder="1" applyAlignment="1">
      <alignment horizontal="center"/>
    </xf>
    <xf numFmtId="0" fontId="12" fillId="0" borderId="114" xfId="14" applyFont="1" applyBorder="1" applyAlignment="1">
      <alignment horizontal="center"/>
    </xf>
    <xf numFmtId="0" fontId="12" fillId="0" borderId="120" xfId="14" applyFont="1" applyBorder="1" applyAlignment="1">
      <alignment horizontal="center"/>
    </xf>
    <xf numFmtId="0" fontId="12" fillId="0" borderId="111" xfId="14" applyFont="1" applyFill="1" applyBorder="1" applyAlignment="1">
      <alignment horizontal="center"/>
    </xf>
    <xf numFmtId="0" fontId="12" fillId="0" borderId="2" xfId="14" applyFont="1" applyBorder="1" applyAlignment="1">
      <alignment horizontal="center"/>
    </xf>
    <xf numFmtId="0" fontId="12" fillId="0" borderId="9" xfId="14" applyFont="1" applyBorder="1" applyAlignment="1">
      <alignment horizontal="center"/>
    </xf>
    <xf numFmtId="0" fontId="12" fillId="0" borderId="5" xfId="14" applyFont="1" applyBorder="1" applyAlignment="1">
      <alignment horizontal="center"/>
    </xf>
    <xf numFmtId="0" fontId="12" fillId="0" borderId="0" xfId="14" applyFont="1" applyBorder="1" applyAlignment="1">
      <alignment horizontal="center"/>
    </xf>
    <xf numFmtId="0" fontId="12" fillId="0" borderId="122" xfId="14" applyFont="1" applyBorder="1" applyAlignment="1">
      <alignment horizontal="center"/>
    </xf>
    <xf numFmtId="3" fontId="12" fillId="0" borderId="111" xfId="14" applyNumberFormat="1" applyFont="1" applyBorder="1"/>
    <xf numFmtId="165" fontId="12" fillId="0" borderId="111" xfId="1" applyNumberFormat="1" applyFont="1" applyBorder="1"/>
    <xf numFmtId="166" fontId="12" fillId="0" borderId="111" xfId="14" applyNumberFormat="1" applyFont="1" applyBorder="1"/>
    <xf numFmtId="178" fontId="12" fillId="0" borderId="111" xfId="14" applyNumberFormat="1" applyFont="1" applyBorder="1"/>
    <xf numFmtId="165" fontId="12" fillId="0" borderId="111" xfId="14" applyNumberFormat="1" applyFont="1" applyBorder="1"/>
    <xf numFmtId="167" fontId="12" fillId="0" borderId="111" xfId="14" applyNumberFormat="1" applyFont="1" applyBorder="1"/>
    <xf numFmtId="173" fontId="12" fillId="0" borderId="111" xfId="1" applyNumberFormat="1" applyFont="1" applyBorder="1"/>
    <xf numFmtId="6" fontId="12" fillId="0" borderId="111" xfId="14" applyNumberFormat="1" applyFont="1" applyBorder="1"/>
    <xf numFmtId="3" fontId="12" fillId="0" borderId="111" xfId="1" applyNumberFormat="1" applyFont="1" applyFill="1" applyBorder="1"/>
    <xf numFmtId="173" fontId="12" fillId="0" borderId="2" xfId="1" applyNumberFormat="1" applyFont="1" applyBorder="1"/>
    <xf numFmtId="173" fontId="12" fillId="0" borderId="9" xfId="1" applyNumberFormat="1" applyFont="1" applyFill="1" applyBorder="1"/>
    <xf numFmtId="173" fontId="12" fillId="5" borderId="5" xfId="1" applyNumberFormat="1" applyFont="1" applyFill="1" applyBorder="1"/>
    <xf numFmtId="6" fontId="12" fillId="5" borderId="9" xfId="14" applyNumberFormat="1" applyFont="1" applyFill="1" applyBorder="1"/>
    <xf numFmtId="0" fontId="12" fillId="0" borderId="2" xfId="14" applyNumberFormat="1" applyFont="1" applyBorder="1"/>
    <xf numFmtId="173" fontId="12" fillId="0" borderId="2" xfId="14" applyNumberFormat="1" applyFont="1" applyBorder="1"/>
    <xf numFmtId="44" fontId="12" fillId="0" borderId="111" xfId="14" applyNumberFormat="1" applyFont="1" applyBorder="1"/>
    <xf numFmtId="44" fontId="12" fillId="0" borderId="2" xfId="14" applyNumberFormat="1" applyFont="1" applyBorder="1"/>
    <xf numFmtId="44" fontId="12" fillId="0" borderId="122"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0" fontId="12" fillId="0" borderId="120" xfId="14" applyFont="1" applyBorder="1" applyAlignment="1">
      <alignment horizontal="left"/>
    </xf>
    <xf numFmtId="181" fontId="12" fillId="0" borderId="111" xfId="14" applyNumberFormat="1" applyFont="1" applyBorder="1"/>
    <xf numFmtId="183" fontId="12" fillId="0" borderId="111" xfId="14" applyNumberFormat="1" applyFont="1" applyBorder="1"/>
    <xf numFmtId="0" fontId="12" fillId="0" borderId="120" xfId="14" applyFont="1" applyFill="1" applyBorder="1"/>
    <xf numFmtId="165" fontId="12" fillId="0" borderId="111" xfId="1" applyNumberFormat="1" applyFont="1" applyFill="1" applyBorder="1"/>
    <xf numFmtId="166" fontId="12" fillId="0" borderId="111" xfId="14" applyNumberFormat="1" applyFont="1" applyFill="1" applyBorder="1"/>
    <xf numFmtId="178" fontId="12" fillId="0" borderId="111" xfId="14" applyNumberFormat="1" applyFont="1" applyFill="1" applyBorder="1"/>
    <xf numFmtId="165" fontId="12" fillId="0" borderId="111" xfId="14" applyNumberFormat="1" applyFont="1" applyFill="1" applyBorder="1"/>
    <xf numFmtId="167" fontId="12" fillId="0" borderId="111" xfId="14" applyNumberFormat="1" applyFont="1" applyFill="1" applyBorder="1"/>
    <xf numFmtId="6" fontId="12" fillId="0" borderId="111" xfId="14" applyNumberFormat="1" applyFont="1" applyFill="1" applyBorder="1"/>
    <xf numFmtId="173" fontId="12" fillId="0" borderId="5" xfId="1" applyNumberFormat="1" applyFont="1" applyFill="1" applyBorder="1"/>
    <xf numFmtId="3" fontId="12" fillId="0" borderId="0" xfId="14" applyNumberFormat="1" applyFont="1" applyFill="1" applyBorder="1"/>
    <xf numFmtId="6" fontId="12" fillId="0" borderId="9" xfId="14" applyNumberFormat="1" applyFont="1" applyFill="1" applyBorder="1"/>
    <xf numFmtId="0" fontId="12" fillId="0" borderId="5" xfId="14" applyFont="1" applyFill="1" applyBorder="1"/>
    <xf numFmtId="164" fontId="12" fillId="0" borderId="123" xfId="14" applyNumberFormat="1" applyFont="1" applyBorder="1"/>
    <xf numFmtId="3" fontId="12" fillId="0" borderId="124" xfId="14" applyNumberFormat="1" applyFont="1" applyBorder="1"/>
    <xf numFmtId="166" fontId="12" fillId="0" borderId="124" xfId="14" applyNumberFormat="1" applyFont="1" applyBorder="1"/>
    <xf numFmtId="3" fontId="12" fillId="12" borderId="0" xfId="14" applyNumberFormat="1" applyFont="1" applyFill="1"/>
    <xf numFmtId="173" fontId="12" fillId="0" borderId="124" xfId="1" applyNumberFormat="1" applyFont="1" applyBorder="1"/>
    <xf numFmtId="182" fontId="12" fillId="0" borderId="124" xfId="1" applyNumberFormat="1" applyFont="1" applyBorder="1"/>
    <xf numFmtId="9" fontId="12" fillId="0" borderId="124" xfId="1" applyNumberFormat="1" applyFont="1" applyBorder="1"/>
    <xf numFmtId="168" fontId="12" fillId="0" borderId="124" xfId="1" applyNumberFormat="1" applyFont="1" applyBorder="1"/>
    <xf numFmtId="44" fontId="12" fillId="0" borderId="124" xfId="14" applyNumberFormat="1" applyFont="1" applyBorder="1"/>
    <xf numFmtId="44" fontId="12" fillId="0" borderId="125" xfId="14" applyNumberFormat="1" applyFont="1" applyBorder="1"/>
    <xf numFmtId="44" fontId="12" fillId="0" borderId="126" xfId="14" applyNumberFormat="1" applyFont="1" applyBorder="1"/>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167" fontId="12" fillId="0" borderId="0" xfId="14" applyNumberFormat="1" applyFont="1"/>
    <xf numFmtId="0" fontId="59" fillId="0" borderId="0" xfId="14" applyFont="1" applyAlignment="1"/>
    <xf numFmtId="0" fontId="68" fillId="0" borderId="0" xfId="14" applyFont="1"/>
    <xf numFmtId="175" fontId="68" fillId="0" borderId="0" xfId="17" applyNumberFormat="1" applyFont="1" applyFill="1"/>
    <xf numFmtId="165" fontId="12" fillId="0" borderId="0" xfId="14" applyNumberFormat="1" applyFont="1"/>
    <xf numFmtId="167" fontId="12" fillId="0" borderId="0" xfId="14" applyNumberFormat="1" applyFont="1" applyFill="1"/>
    <xf numFmtId="3" fontId="59" fillId="4" borderId="0" xfId="14" applyNumberFormat="1" applyFont="1" applyFill="1"/>
    <xf numFmtId="168" fontId="12" fillId="0" borderId="0" xfId="14" applyNumberFormat="1" applyFont="1"/>
    <xf numFmtId="3" fontId="12" fillId="0" borderId="0" xfId="14" applyNumberFormat="1" applyFont="1"/>
    <xf numFmtId="175" fontId="12" fillId="0" borderId="0" xfId="16" applyNumberFormat="1" applyFont="1"/>
    <xf numFmtId="6" fontId="12" fillId="0" borderId="0" xfId="14" applyNumberFormat="1" applyFont="1"/>
    <xf numFmtId="6" fontId="12" fillId="0" borderId="0" xfId="14" applyNumberFormat="1" applyFont="1" applyBorder="1"/>
    <xf numFmtId="165" fontId="12" fillId="0" borderId="0" xfId="14" applyNumberFormat="1" applyFont="1" applyBorder="1"/>
    <xf numFmtId="3" fontId="12" fillId="0" borderId="0" xfId="14" applyNumberFormat="1" applyFont="1" applyBorder="1"/>
    <xf numFmtId="10" fontId="12" fillId="0" borderId="0" xfId="14" applyNumberFormat="1" applyFont="1" applyBorder="1"/>
    <xf numFmtId="167" fontId="12" fillId="5" borderId="0" xfId="14" applyNumberFormat="1" applyFont="1" applyFill="1"/>
    <xf numFmtId="173" fontId="12" fillId="0" borderId="0" xfId="14" applyNumberFormat="1" applyFont="1"/>
    <xf numFmtId="6" fontId="12" fillId="0" borderId="0" xfId="14" applyNumberFormat="1" applyFont="1" applyFill="1" applyBorder="1"/>
    <xf numFmtId="0" fontId="0" fillId="0" borderId="0" xfId="0" applyAlignment="1">
      <alignment wrapText="1"/>
    </xf>
    <xf numFmtId="0" fontId="59" fillId="0" borderId="0" xfId="0" applyFont="1" applyAlignment="1">
      <alignment vertical="top" wrapText="1"/>
    </xf>
    <xf numFmtId="0" fontId="12" fillId="0" borderId="0" xfId="0" applyFont="1" applyAlignment="1">
      <alignment vertical="top" wrapText="1"/>
    </xf>
    <xf numFmtId="3" fontId="12" fillId="0" borderId="0" xfId="14" applyNumberFormat="1" applyFont="1" applyFill="1"/>
    <xf numFmtId="167" fontId="12" fillId="0" borderId="124" xfId="14" applyNumberFormat="1" applyFont="1" applyFill="1" applyBorder="1"/>
    <xf numFmtId="175" fontId="12" fillId="0" borderId="124" xfId="16" applyNumberFormat="1" applyFont="1" applyFill="1" applyBorder="1"/>
    <xf numFmtId="3" fontId="12" fillId="11" borderId="0" xfId="17" applyNumberFormat="1" applyFont="1" applyFill="1"/>
    <xf numFmtId="0" fontId="59" fillId="5" borderId="117" xfId="14" applyFont="1" applyFill="1" applyBorder="1" applyAlignment="1">
      <alignment horizontal="center"/>
    </xf>
    <xf numFmtId="0" fontId="59" fillId="5" borderId="116" xfId="14" applyFont="1" applyFill="1" applyBorder="1" applyAlignment="1">
      <alignment horizontal="center"/>
    </xf>
    <xf numFmtId="0" fontId="59" fillId="5" borderId="118" xfId="14" applyFont="1" applyFill="1" applyBorder="1" applyAlignment="1">
      <alignment horizontal="center"/>
    </xf>
    <xf numFmtId="2" fontId="59" fillId="0" borderId="128" xfId="14" applyNumberFormat="1" applyFont="1" applyBorder="1" applyAlignment="1">
      <alignment horizontal="center" wrapText="1"/>
    </xf>
    <xf numFmtId="2" fontId="59" fillId="0" borderId="129" xfId="14" applyNumberFormat="1" applyFont="1" applyBorder="1" applyAlignment="1">
      <alignment horizontal="center" wrapText="1"/>
    </xf>
    <xf numFmtId="2" fontId="59" fillId="0" borderId="130" xfId="14" applyNumberFormat="1" applyFont="1" applyBorder="1" applyAlignment="1">
      <alignment horizontal="center" wrapText="1"/>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1-22%20Distribution\2021-22%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21-22"/>
      <sheetName val="State Population"/>
      <sheetName val="Poverty-Uninsured Population"/>
      <sheetName val="Prevalence"/>
      <sheetName val="Self Suff. Calc"/>
      <sheetName val="CA All Families 2021"/>
      <sheetName val="SSS"/>
      <sheetName val="E-1 City-County 2018"/>
      <sheetName val="About the Data"/>
      <sheetName val="Resources-new"/>
      <sheetName val="2009-10 Allocation"/>
    </sheetNames>
    <sheetDataSet>
      <sheetData sheetId="0">
        <row r="7">
          <cell r="K7">
            <v>3.8237E-2</v>
          </cell>
        </row>
        <row r="8">
          <cell r="K8">
            <v>2.1999999999999999E-5</v>
          </cell>
        </row>
        <row r="9">
          <cell r="K9">
            <v>6.8199999999999999E-4</v>
          </cell>
        </row>
        <row r="10">
          <cell r="K10">
            <v>4.9300000000000004E-3</v>
          </cell>
        </row>
        <row r="11">
          <cell r="K11">
            <v>9.3700000000000001E-4</v>
          </cell>
        </row>
        <row r="12">
          <cell r="K12">
            <v>4.4799999999999999E-4</v>
          </cell>
        </row>
        <row r="13">
          <cell r="K13">
            <v>2.7181E-2</v>
          </cell>
        </row>
        <row r="14">
          <cell r="K14">
            <v>5.7200000000000003E-4</v>
          </cell>
        </row>
        <row r="15">
          <cell r="K15">
            <v>4.0260000000000001E-3</v>
          </cell>
        </row>
        <row r="16">
          <cell r="K16">
            <v>2.7289000000000001E-2</v>
          </cell>
        </row>
        <row r="17">
          <cell r="K17">
            <v>6.6799999999999997E-4</v>
          </cell>
        </row>
        <row r="18">
          <cell r="K18">
            <v>3.2429999999999998E-3</v>
          </cell>
        </row>
        <row r="19">
          <cell r="K19">
            <v>4.6080000000000001E-3</v>
          </cell>
        </row>
        <row r="20">
          <cell r="K20">
            <v>3.1599999999999998E-4</v>
          </cell>
        </row>
        <row r="21">
          <cell r="K21">
            <v>2.3990000000000001E-2</v>
          </cell>
        </row>
        <row r="22">
          <cell r="K22">
            <v>3.8170000000000001E-3</v>
          </cell>
        </row>
        <row r="23">
          <cell r="K23">
            <v>1.519E-3</v>
          </cell>
        </row>
        <row r="24">
          <cell r="K24">
            <v>4.2499999999999998E-4</v>
          </cell>
        </row>
        <row r="25">
          <cell r="K25">
            <v>0.27424100000000001</v>
          </cell>
        </row>
        <row r="26">
          <cell r="K26">
            <v>4.1590000000000004E-3</v>
          </cell>
        </row>
        <row r="27">
          <cell r="K27">
            <v>6.633E-3</v>
          </cell>
        </row>
        <row r="28">
          <cell r="K28">
            <v>3.3500000000000001E-4</v>
          </cell>
        </row>
        <row r="29">
          <cell r="K29">
            <v>1.9780000000000002E-3</v>
          </cell>
        </row>
        <row r="30">
          <cell r="K30">
            <v>7.6959999999999997E-3</v>
          </cell>
        </row>
        <row r="31">
          <cell r="K31">
            <v>1.83E-4</v>
          </cell>
        </row>
        <row r="32">
          <cell r="K32">
            <v>2.6200000000000003E-4</v>
          </cell>
        </row>
        <row r="33">
          <cell r="K33">
            <v>1.1455E-2</v>
          </cell>
        </row>
        <row r="34">
          <cell r="K34">
            <v>2.8830000000000001E-3</v>
          </cell>
        </row>
        <row r="35">
          <cell r="K35">
            <v>2.0049999999999998E-3</v>
          </cell>
        </row>
        <row r="36">
          <cell r="K36">
            <v>8.2282999999999995E-2</v>
          </cell>
        </row>
        <row r="37">
          <cell r="K37">
            <v>8.4690000000000008E-3</v>
          </cell>
        </row>
        <row r="38">
          <cell r="K38">
            <v>2.9799999999999998E-4</v>
          </cell>
        </row>
        <row r="39">
          <cell r="K39">
            <v>6.2517000000000003E-2</v>
          </cell>
        </row>
        <row r="40">
          <cell r="K40">
            <v>3.6894000000000003E-2</v>
          </cell>
        </row>
        <row r="41">
          <cell r="K41">
            <v>1.4920000000000001E-3</v>
          </cell>
        </row>
        <row r="42">
          <cell r="K42">
            <v>5.4404000000000001E-2</v>
          </cell>
        </row>
        <row r="43">
          <cell r="K43">
            <v>8.4172999999999998E-2</v>
          </cell>
        </row>
        <row r="44">
          <cell r="K44">
            <v>2.1857999999999999E-2</v>
          </cell>
        </row>
        <row r="45">
          <cell r="K45">
            <v>1.9092000000000001E-2</v>
          </cell>
        </row>
        <row r="46">
          <cell r="K46">
            <v>6.0029999999999997E-3</v>
          </cell>
        </row>
        <row r="47">
          <cell r="K47">
            <v>2.0251000000000002E-2</v>
          </cell>
        </row>
        <row r="48">
          <cell r="K48">
            <v>1.3115E-2</v>
          </cell>
        </row>
        <row r="49">
          <cell r="K49">
            <v>4.6269999999999999E-2</v>
          </cell>
        </row>
        <row r="50">
          <cell r="K50">
            <v>7.3969999999999999E-3</v>
          </cell>
        </row>
        <row r="51">
          <cell r="K51">
            <v>4.1780000000000003E-3</v>
          </cell>
        </row>
        <row r="52">
          <cell r="K52">
            <v>5.5000000000000002E-5</v>
          </cell>
        </row>
        <row r="53">
          <cell r="K53">
            <v>9.8799999999999995E-4</v>
          </cell>
        </row>
        <row r="54">
          <cell r="K54">
            <v>9.1959999999999993E-3</v>
          </cell>
        </row>
        <row r="55">
          <cell r="K55">
            <v>1.0931E-2</v>
          </cell>
        </row>
        <row r="56">
          <cell r="K56">
            <v>1.3741E-2</v>
          </cell>
        </row>
        <row r="57">
          <cell r="K57">
            <v>4.2269999999999999E-3</v>
          </cell>
        </row>
        <row r="58">
          <cell r="K58">
            <v>1.6130000000000001E-3</v>
          </cell>
        </row>
        <row r="59">
          <cell r="K59">
            <v>2.5599999999999999E-4</v>
          </cell>
        </row>
        <row r="60">
          <cell r="K60">
            <v>1.3034E-2</v>
          </cell>
        </row>
        <row r="61">
          <cell r="K61">
            <v>1.073E-3</v>
          </cell>
        </row>
        <row r="62">
          <cell r="K62">
            <v>1.916E-2</v>
          </cell>
        </row>
        <row r="63">
          <cell r="K63">
            <v>5.8050000000000003E-3</v>
          </cell>
        </row>
        <row r="65">
          <cell r="K65">
            <v>2.9584571661461245E-3</v>
          </cell>
        </row>
        <row r="66">
          <cell r="K66">
            <v>5.5770848728635709E-3</v>
          </cell>
        </row>
        <row r="70">
          <cell r="M70">
            <v>1589680372.72</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yvue/AppData/Local/Microsoft/Window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80" zoomScaleNormal="80" workbookViewId="0"/>
  </sheetViews>
  <sheetFormatPr defaultColWidth="0" defaultRowHeight="15" zeroHeight="1" x14ac:dyDescent="0.2"/>
  <cols>
    <col min="1" max="1" width="85.77734375" customWidth="1"/>
    <col min="2" max="2" width="10.77734375" hidden="1" customWidth="1"/>
    <col min="3" max="16384" width="8.88671875" hidden="1"/>
  </cols>
  <sheetData>
    <row r="1" spans="1:1" ht="15.75" x14ac:dyDescent="0.2">
      <c r="A1" s="511" t="s">
        <v>882</v>
      </c>
    </row>
    <row r="2" spans="1:1" ht="30" x14ac:dyDescent="0.2">
      <c r="A2" s="512" t="s">
        <v>890</v>
      </c>
    </row>
    <row r="3" spans="1:1" ht="30" x14ac:dyDescent="0.2">
      <c r="A3" s="512" t="s">
        <v>883</v>
      </c>
    </row>
    <row r="4" spans="1:1" ht="45" x14ac:dyDescent="0.2">
      <c r="A4" s="512" t="s">
        <v>884</v>
      </c>
    </row>
    <row r="5" spans="1:1" ht="45" x14ac:dyDescent="0.2">
      <c r="A5" s="512" t="s">
        <v>888</v>
      </c>
    </row>
    <row r="6" spans="1:1" ht="30" x14ac:dyDescent="0.2">
      <c r="A6" s="512" t="s">
        <v>885</v>
      </c>
    </row>
    <row r="7" spans="1:1" ht="45" x14ac:dyDescent="0.2">
      <c r="A7" s="512" t="s">
        <v>889</v>
      </c>
    </row>
    <row r="8" spans="1:1" ht="45" x14ac:dyDescent="0.2">
      <c r="A8" s="512" t="s">
        <v>886</v>
      </c>
    </row>
    <row r="9" spans="1:1" hidden="1" x14ac:dyDescent="0.2">
      <c r="A9" s="510"/>
    </row>
    <row r="10" spans="1:1" hidden="1" x14ac:dyDescent="0.2">
      <c r="A10" s="510"/>
    </row>
    <row r="11" spans="1:1" hidden="1" x14ac:dyDescent="0.2">
      <c r="A11" s="510"/>
    </row>
    <row r="12" spans="1:1" hidden="1" x14ac:dyDescent="0.2">
      <c r="A12" s="510"/>
    </row>
    <row r="13" spans="1:1" hidden="1" x14ac:dyDescent="0.2">
      <c r="A13" s="51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48" t="s">
        <v>570</v>
      </c>
      <c r="B1" s="548"/>
      <c r="C1" s="548"/>
      <c r="D1" s="548"/>
      <c r="E1" s="548"/>
      <c r="F1" s="548"/>
      <c r="G1" s="548"/>
      <c r="H1" s="548"/>
      <c r="I1" s="548"/>
      <c r="J1" s="548"/>
      <c r="K1" s="548"/>
      <c r="L1" s="548"/>
      <c r="M1" s="548"/>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49" t="s">
        <v>566</v>
      </c>
      <c r="B1" s="549"/>
      <c r="C1" s="549"/>
      <c r="D1" s="549"/>
      <c r="E1" s="549"/>
      <c r="F1" s="549"/>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topLeftCell="A6" zoomScale="80" zoomScaleNormal="80" zoomScalePageLayoutView="120" workbookViewId="0">
      <selection activeCell="S14" sqref="S14:S72"/>
    </sheetView>
  </sheetViews>
  <sheetFormatPr defaultColWidth="0" defaultRowHeight="15" zeroHeight="1" x14ac:dyDescent="0.2"/>
  <cols>
    <col min="1" max="1" width="14.44140625" style="407" bestFit="1" customWidth="1"/>
    <col min="2" max="2" width="9.77734375" style="407" hidden="1" customWidth="1"/>
    <col min="3" max="3" width="9.21875" style="407" hidden="1" customWidth="1"/>
    <col min="4" max="4" width="9.77734375" style="407" hidden="1" customWidth="1"/>
    <col min="5" max="5" width="9" style="407" hidden="1" customWidth="1"/>
    <col min="6" max="6" width="8.77734375" style="407" hidden="1" customWidth="1"/>
    <col min="7" max="7" width="8.44140625" style="407" hidden="1" customWidth="1"/>
    <col min="8" max="8" width="9.109375" style="407" hidden="1" customWidth="1"/>
    <col min="9" max="10" width="9.77734375" style="407" hidden="1" customWidth="1"/>
    <col min="11" max="11" width="11" style="407" bestFit="1" customWidth="1"/>
    <col min="12" max="12" width="11.5546875" style="407" customWidth="1"/>
    <col min="13" max="13" width="15.44140625" style="492" bestFit="1" customWidth="1"/>
    <col min="14" max="15" width="10.77734375" style="407" hidden="1" customWidth="1"/>
    <col min="16" max="16" width="11.88671875" style="407" hidden="1" customWidth="1"/>
    <col min="17" max="17" width="14.5546875" style="404" customWidth="1"/>
    <col min="18" max="18" width="14.77734375" style="404" bestFit="1" customWidth="1"/>
    <col min="19" max="19" width="12.33203125" style="407" customWidth="1"/>
    <col min="20" max="20" width="2.33203125" style="404" hidden="1" customWidth="1"/>
    <col min="21" max="21" width="9.6640625" style="405" hidden="1" customWidth="1"/>
    <col min="22" max="22" width="8.77734375" style="405" hidden="1" customWidth="1"/>
    <col min="23" max="23" width="9" style="406" hidden="1" customWidth="1"/>
    <col min="24" max="24" width="12.109375" style="405" hidden="1" customWidth="1"/>
    <col min="25" max="25" width="8.88671875" style="405" hidden="1" customWidth="1"/>
    <col min="26" max="26" width="8.88671875" style="407" hidden="1" customWidth="1"/>
    <col min="27" max="27" width="10" style="407" hidden="1" customWidth="1"/>
    <col min="28" max="29" width="12.33203125" style="407" hidden="1" customWidth="1"/>
    <col min="30" max="30" width="12" style="407" hidden="1" customWidth="1"/>
    <col min="31" max="46" width="12.33203125" style="407" hidden="1" customWidth="1"/>
    <col min="47" max="47" width="13.6640625" style="407" hidden="1" customWidth="1"/>
    <col min="48" max="48" width="12" style="407" hidden="1" customWidth="1"/>
    <col min="49" max="49" width="11.88671875" style="407" hidden="1" customWidth="1"/>
    <col min="50" max="50" width="11.21875" style="407" hidden="1" customWidth="1"/>
    <col min="51" max="51" width="13.44140625" style="407" hidden="1" customWidth="1"/>
    <col min="52" max="54" width="11.21875" style="407" hidden="1" customWidth="1"/>
    <col min="55" max="55" width="10.88671875" style="407" hidden="1" customWidth="1"/>
    <col min="56" max="56" width="15.77734375" style="407" hidden="1" customWidth="1"/>
    <col min="57" max="16384" width="8.88671875" style="407" hidden="1"/>
  </cols>
  <sheetData>
    <row r="1" spans="1:56" hidden="1" x14ac:dyDescent="0.2">
      <c r="A1" s="401"/>
      <c r="B1" s="401"/>
      <c r="C1" s="401"/>
      <c r="D1" s="401"/>
      <c r="E1" s="401"/>
      <c r="F1" s="401"/>
      <c r="G1" s="401"/>
      <c r="H1" s="401"/>
      <c r="I1" s="401"/>
      <c r="J1" s="401"/>
      <c r="K1" s="401"/>
      <c r="L1" s="401"/>
      <c r="M1" s="402"/>
      <c r="N1" s="401"/>
      <c r="O1" s="401"/>
      <c r="P1" s="401"/>
      <c r="Q1" s="403"/>
      <c r="R1" s="403"/>
      <c r="S1" s="401"/>
    </row>
    <row r="2" spans="1:56" ht="15.75" hidden="1" x14ac:dyDescent="0.25">
      <c r="A2" s="399"/>
      <c r="B2" s="399"/>
      <c r="C2" s="399"/>
      <c r="D2" s="399"/>
      <c r="E2" s="399"/>
      <c r="F2" s="399"/>
      <c r="G2" s="399"/>
      <c r="H2" s="399"/>
      <c r="I2" s="399"/>
      <c r="J2" s="399"/>
      <c r="K2" s="399"/>
      <c r="L2" s="399"/>
      <c r="M2" s="399"/>
      <c r="N2" s="399"/>
      <c r="O2" s="399"/>
      <c r="P2" s="399"/>
      <c r="Q2" s="399"/>
      <c r="R2" s="399"/>
      <c r="S2" s="399"/>
    </row>
    <row r="3" spans="1:56" s="401" customFormat="1" ht="15.75" hidden="1" x14ac:dyDescent="0.25">
      <c r="A3" s="399"/>
      <c r="B3" s="399"/>
      <c r="C3" s="399"/>
      <c r="D3" s="399"/>
      <c r="E3" s="399"/>
      <c r="F3" s="399"/>
      <c r="G3" s="399"/>
      <c r="H3" s="399"/>
      <c r="I3" s="399"/>
      <c r="J3" s="399"/>
      <c r="K3" s="399"/>
      <c r="L3" s="399"/>
      <c r="M3" s="399"/>
      <c r="N3" s="399"/>
      <c r="O3" s="399"/>
      <c r="P3" s="399"/>
      <c r="Q3" s="399"/>
      <c r="R3" s="399"/>
      <c r="S3" s="399"/>
      <c r="T3" s="408"/>
      <c r="U3" s="409"/>
      <c r="V3" s="409"/>
      <c r="W3" s="409"/>
      <c r="X3" s="409"/>
      <c r="Y3" s="409"/>
    </row>
    <row r="4" spans="1:56" s="401" customFormat="1" ht="15.75" hidden="1" x14ac:dyDescent="0.25">
      <c r="A4" s="399"/>
      <c r="B4" s="399"/>
      <c r="C4" s="399"/>
      <c r="D4" s="399"/>
      <c r="E4" s="399"/>
      <c r="F4" s="399"/>
      <c r="G4" s="399"/>
      <c r="H4" s="399"/>
      <c r="I4" s="399"/>
      <c r="J4" s="399"/>
      <c r="K4" s="399"/>
      <c r="L4" s="399"/>
      <c r="M4" s="399"/>
      <c r="N4" s="399"/>
      <c r="O4" s="399"/>
      <c r="P4" s="399"/>
      <c r="Q4" s="399"/>
      <c r="R4" s="399"/>
      <c r="S4" s="399"/>
      <c r="T4" s="408"/>
      <c r="U4" s="409"/>
      <c r="V4" s="409"/>
      <c r="W4" s="409"/>
      <c r="X4" s="409"/>
      <c r="Y4" s="409"/>
    </row>
    <row r="5" spans="1:56" s="401" customFormat="1" ht="16.5" hidden="1" thickBot="1" x14ac:dyDescent="0.3">
      <c r="A5" s="400"/>
      <c r="B5" s="400"/>
      <c r="C5" s="400"/>
      <c r="D5" s="400"/>
      <c r="E5" s="400"/>
      <c r="F5" s="400"/>
      <c r="G5" s="400"/>
      <c r="H5" s="400"/>
      <c r="I5" s="400"/>
      <c r="J5" s="400"/>
      <c r="K5" s="400"/>
      <c r="L5" s="400"/>
      <c r="M5" s="400"/>
      <c r="N5" s="400"/>
      <c r="O5" s="400"/>
      <c r="P5" s="400"/>
      <c r="Q5" s="400"/>
      <c r="R5" s="400"/>
      <c r="S5" s="400"/>
      <c r="T5" s="408"/>
      <c r="U5" s="517" t="s">
        <v>556</v>
      </c>
      <c r="V5" s="518"/>
      <c r="W5" s="518"/>
      <c r="X5" s="518"/>
      <c r="Y5" s="519"/>
    </row>
    <row r="6" spans="1:56" s="401" customFormat="1" ht="16.5" thickBot="1" x14ac:dyDescent="0.3">
      <c r="A6" s="520" t="s">
        <v>877</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2"/>
    </row>
    <row r="7" spans="1:56" ht="79.5" customHeight="1" x14ac:dyDescent="0.25">
      <c r="A7" s="410" t="s">
        <v>554</v>
      </c>
      <c r="B7" s="411" t="s">
        <v>806</v>
      </c>
      <c r="C7" s="411" t="s">
        <v>879</v>
      </c>
      <c r="D7" s="411" t="s">
        <v>880</v>
      </c>
      <c r="E7" s="411" t="s">
        <v>881</v>
      </c>
      <c r="F7" s="411" t="s">
        <v>63</v>
      </c>
      <c r="G7" s="411" t="s">
        <v>61</v>
      </c>
      <c r="H7" s="411" t="s">
        <v>62</v>
      </c>
      <c r="I7" s="411" t="s">
        <v>813</v>
      </c>
      <c r="J7" s="411" t="s">
        <v>57</v>
      </c>
      <c r="K7" s="411" t="s">
        <v>814</v>
      </c>
      <c r="L7" s="411" t="s">
        <v>558</v>
      </c>
      <c r="M7" s="411" t="s">
        <v>696</v>
      </c>
      <c r="N7" s="411" t="s">
        <v>67</v>
      </c>
      <c r="O7" s="411" t="s">
        <v>66</v>
      </c>
      <c r="P7" s="411" t="s">
        <v>703</v>
      </c>
      <c r="Q7" s="411" t="s">
        <v>695</v>
      </c>
      <c r="R7" s="411" t="s">
        <v>555</v>
      </c>
      <c r="S7" s="411" t="s">
        <v>878</v>
      </c>
      <c r="T7" s="411"/>
      <c r="U7" s="411" t="s">
        <v>702</v>
      </c>
      <c r="V7" s="411" t="s">
        <v>701</v>
      </c>
      <c r="W7" s="411" t="s">
        <v>552</v>
      </c>
      <c r="X7" s="411" t="s">
        <v>557</v>
      </c>
      <c r="Y7" s="411" t="s">
        <v>559</v>
      </c>
      <c r="Z7" s="411"/>
      <c r="AA7" s="411" t="s">
        <v>819</v>
      </c>
      <c r="AB7" s="412" t="s">
        <v>819</v>
      </c>
      <c r="AC7" s="412" t="s">
        <v>820</v>
      </c>
      <c r="AD7" s="412" t="s">
        <v>833</v>
      </c>
      <c r="AE7" s="412" t="s">
        <v>849</v>
      </c>
      <c r="AF7" s="412" t="s">
        <v>834</v>
      </c>
      <c r="AG7" s="412" t="s">
        <v>835</v>
      </c>
      <c r="AH7" s="412" t="s">
        <v>850</v>
      </c>
      <c r="AI7" s="412" t="s">
        <v>836</v>
      </c>
      <c r="AJ7" s="412" t="s">
        <v>837</v>
      </c>
      <c r="AK7" s="412" t="s">
        <v>851</v>
      </c>
      <c r="AL7" s="412" t="s">
        <v>838</v>
      </c>
      <c r="AM7" s="412" t="s">
        <v>839</v>
      </c>
      <c r="AN7" s="412" t="s">
        <v>852</v>
      </c>
      <c r="AO7" s="412" t="s">
        <v>840</v>
      </c>
      <c r="AP7" s="412" t="s">
        <v>841</v>
      </c>
      <c r="AQ7" s="412" t="s">
        <v>853</v>
      </c>
      <c r="AR7" s="412" t="s">
        <v>842</v>
      </c>
      <c r="AS7" s="412" t="s">
        <v>821</v>
      </c>
      <c r="AT7" s="413" t="s">
        <v>856</v>
      </c>
      <c r="AU7" s="414" t="s">
        <v>822</v>
      </c>
      <c r="AV7" s="415"/>
      <c r="AW7" s="416" t="s">
        <v>823</v>
      </c>
      <c r="AX7" s="416" t="s">
        <v>820</v>
      </c>
      <c r="AZ7" s="415"/>
      <c r="BA7" s="415"/>
      <c r="BB7" s="416" t="s">
        <v>873</v>
      </c>
      <c r="BC7" s="416" t="s">
        <v>871</v>
      </c>
      <c r="BD7" s="416" t="s">
        <v>870</v>
      </c>
    </row>
    <row r="8" spans="1:56" s="401" customFormat="1" hidden="1" x14ac:dyDescent="0.2">
      <c r="A8" s="417" t="s">
        <v>60</v>
      </c>
      <c r="B8" s="418"/>
      <c r="C8" s="418">
        <v>0.5</v>
      </c>
      <c r="D8" s="418">
        <v>0.3</v>
      </c>
      <c r="E8" s="418">
        <f>1-C8-D8</f>
        <v>0.2</v>
      </c>
      <c r="F8" s="418"/>
      <c r="G8" s="418">
        <v>0.4</v>
      </c>
      <c r="H8" s="418"/>
      <c r="I8" s="418"/>
      <c r="J8" s="418">
        <v>0.2</v>
      </c>
      <c r="K8" s="418"/>
      <c r="L8" s="419"/>
      <c r="M8" s="420"/>
      <c r="N8" s="420"/>
      <c r="O8" s="420"/>
      <c r="P8" s="420"/>
      <c r="Q8" s="419"/>
      <c r="R8" s="419"/>
      <c r="S8" s="420"/>
      <c r="T8" s="421"/>
      <c r="U8" s="422"/>
      <c r="V8" s="422"/>
      <c r="W8" s="423"/>
      <c r="X8" s="424"/>
      <c r="Y8" s="425"/>
      <c r="AT8" s="426"/>
    </row>
    <row r="9" spans="1:56" s="401" customFormat="1" hidden="1" x14ac:dyDescent="0.2">
      <c r="A9" s="417"/>
      <c r="B9" s="427">
        <v>1</v>
      </c>
      <c r="C9" s="428">
        <v>2</v>
      </c>
      <c r="D9" s="427">
        <v>3</v>
      </c>
      <c r="E9" s="427">
        <v>4</v>
      </c>
      <c r="F9" s="427">
        <v>5</v>
      </c>
      <c r="G9" s="427">
        <v>6</v>
      </c>
      <c r="H9" s="427">
        <v>7</v>
      </c>
      <c r="I9" s="427">
        <v>8</v>
      </c>
      <c r="J9" s="427">
        <v>9</v>
      </c>
      <c r="K9" s="427">
        <v>10</v>
      </c>
      <c r="L9" s="419">
        <v>11</v>
      </c>
      <c r="M9" s="420">
        <v>12</v>
      </c>
      <c r="N9" s="420">
        <v>13</v>
      </c>
      <c r="O9" s="420">
        <v>14</v>
      </c>
      <c r="P9" s="420">
        <v>13</v>
      </c>
      <c r="Q9" s="419">
        <v>13</v>
      </c>
      <c r="R9" s="419">
        <v>14</v>
      </c>
      <c r="S9" s="429"/>
      <c r="T9" s="421"/>
      <c r="U9" s="422"/>
      <c r="V9" s="422"/>
      <c r="W9" s="423"/>
      <c r="X9" s="424"/>
      <c r="Y9" s="425"/>
      <c r="AT9" s="426"/>
    </row>
    <row r="10" spans="1:56" s="401" customFormat="1" hidden="1" x14ac:dyDescent="0.2">
      <c r="A10" s="417"/>
      <c r="B10" s="427"/>
      <c r="C10" s="428"/>
      <c r="D10" s="427"/>
      <c r="E10" s="427"/>
      <c r="F10" s="427"/>
      <c r="G10" s="427"/>
      <c r="H10" s="427"/>
      <c r="I10" s="427"/>
      <c r="J10" s="427"/>
      <c r="K10" s="427"/>
      <c r="L10" s="419"/>
      <c r="M10" s="420"/>
      <c r="N10" s="420"/>
      <c r="O10" s="420"/>
      <c r="P10" s="420"/>
      <c r="Q10" s="419"/>
      <c r="R10" s="419"/>
      <c r="S10" s="430" t="s">
        <v>824</v>
      </c>
      <c r="T10" s="430"/>
      <c r="U10" s="430"/>
      <c r="V10" s="430"/>
      <c r="W10" s="430"/>
      <c r="X10" s="430"/>
      <c r="Y10" s="430"/>
      <c r="Z10" s="430"/>
      <c r="AA10" s="430" t="s">
        <v>825</v>
      </c>
      <c r="AB10" s="430"/>
      <c r="AC10" s="430" t="s">
        <v>826</v>
      </c>
      <c r="AD10" s="430" t="s">
        <v>827</v>
      </c>
      <c r="AE10" s="430" t="s">
        <v>828</v>
      </c>
      <c r="AF10" s="430" t="s">
        <v>830</v>
      </c>
      <c r="AG10" s="430" t="s">
        <v>831</v>
      </c>
      <c r="AH10" s="430" t="s">
        <v>832</v>
      </c>
      <c r="AI10" s="430" t="s">
        <v>843</v>
      </c>
      <c r="AJ10" s="430" t="s">
        <v>844</v>
      </c>
      <c r="AK10" s="430" t="s">
        <v>845</v>
      </c>
      <c r="AL10" s="430" t="s">
        <v>846</v>
      </c>
      <c r="AM10" s="430" t="s">
        <v>847</v>
      </c>
      <c r="AN10" s="430" t="s">
        <v>848</v>
      </c>
      <c r="AO10" s="430" t="s">
        <v>854</v>
      </c>
      <c r="AP10" s="430" t="s">
        <v>855</v>
      </c>
      <c r="AQ10" s="430" t="s">
        <v>856</v>
      </c>
      <c r="AR10" s="430" t="s">
        <v>857</v>
      </c>
      <c r="AS10" s="430" t="s">
        <v>858</v>
      </c>
      <c r="AT10" s="431"/>
      <c r="AU10" s="432"/>
      <c r="AV10" s="430"/>
      <c r="AW10" s="430"/>
      <c r="AX10" s="430"/>
      <c r="AY10" s="430"/>
      <c r="AZ10" s="430"/>
      <c r="BA10" s="430"/>
      <c r="BB10" s="430" t="s">
        <v>826</v>
      </c>
      <c r="BC10" s="430" t="s">
        <v>827</v>
      </c>
      <c r="BD10" s="430" t="s">
        <v>828</v>
      </c>
    </row>
    <row r="11" spans="1:56" s="401" customFormat="1" hidden="1" x14ac:dyDescent="0.2">
      <c r="A11" s="417"/>
      <c r="B11" s="427"/>
      <c r="C11" s="428"/>
      <c r="D11" s="427"/>
      <c r="E11" s="427"/>
      <c r="F11" s="427"/>
      <c r="G11" s="427"/>
      <c r="H11" s="427"/>
      <c r="I11" s="427"/>
      <c r="J11" s="427"/>
      <c r="K11" s="427"/>
      <c r="L11" s="419"/>
      <c r="M11" s="420"/>
      <c r="N11" s="420"/>
      <c r="O11" s="420"/>
      <c r="P11" s="420"/>
      <c r="Q11" s="419"/>
      <c r="R11" s="419"/>
      <c r="S11" s="430"/>
      <c r="T11" s="430"/>
      <c r="U11" s="430"/>
      <c r="V11" s="430"/>
      <c r="W11" s="430"/>
      <c r="X11" s="430"/>
      <c r="Y11" s="430"/>
      <c r="Z11" s="430"/>
      <c r="AA11" s="430"/>
      <c r="AB11" s="430"/>
      <c r="AC11" s="430" t="s">
        <v>829</v>
      </c>
      <c r="AD11" s="430"/>
      <c r="AE11" s="430" t="s">
        <v>865</v>
      </c>
      <c r="AF11" s="430" t="s">
        <v>860</v>
      </c>
      <c r="AG11" s="430"/>
      <c r="AH11" s="430" t="s">
        <v>866</v>
      </c>
      <c r="AI11" s="430" t="s">
        <v>861</v>
      </c>
      <c r="AJ11" s="430"/>
      <c r="AK11" s="430" t="s">
        <v>867</v>
      </c>
      <c r="AL11" s="430" t="s">
        <v>862</v>
      </c>
      <c r="AM11" s="430"/>
      <c r="AN11" s="430" t="s">
        <v>868</v>
      </c>
      <c r="AO11" s="430" t="s">
        <v>863</v>
      </c>
      <c r="AP11" s="430"/>
      <c r="AQ11" s="430" t="s">
        <v>869</v>
      </c>
      <c r="AR11" s="430" t="s">
        <v>864</v>
      </c>
      <c r="AS11" s="430" t="s">
        <v>859</v>
      </c>
      <c r="AT11" s="431"/>
      <c r="AU11" s="432"/>
      <c r="AV11" s="430"/>
      <c r="AW11" s="430"/>
      <c r="AX11" s="430"/>
      <c r="AY11" s="430"/>
      <c r="AZ11" s="430"/>
      <c r="BA11" s="430"/>
      <c r="BB11" s="430"/>
      <c r="BC11" s="430"/>
      <c r="BD11" s="430" t="s">
        <v>872</v>
      </c>
    </row>
    <row r="12" spans="1:56" s="401" customFormat="1" x14ac:dyDescent="0.2">
      <c r="A12" s="433"/>
      <c r="B12" s="427"/>
      <c r="C12" s="428"/>
      <c r="D12" s="427"/>
      <c r="E12" s="427"/>
      <c r="F12" s="427"/>
      <c r="G12" s="427"/>
      <c r="H12" s="427"/>
      <c r="I12" s="427"/>
      <c r="J12" s="427"/>
      <c r="K12" s="427" t="s">
        <v>824</v>
      </c>
      <c r="L12" s="434" t="s">
        <v>825</v>
      </c>
      <c r="M12" s="430" t="s">
        <v>826</v>
      </c>
      <c r="N12" s="430"/>
      <c r="O12" s="430"/>
      <c r="P12" s="430"/>
      <c r="Q12" s="434" t="s">
        <v>827</v>
      </c>
      <c r="R12" s="434" t="s">
        <v>828</v>
      </c>
      <c r="S12" s="435" t="s">
        <v>875</v>
      </c>
      <c r="T12" s="436"/>
      <c r="U12" s="437"/>
      <c r="V12" s="437"/>
      <c r="W12" s="438"/>
      <c r="X12" s="436"/>
      <c r="Y12" s="437"/>
      <c r="Z12" s="438"/>
      <c r="AA12" s="435" t="s">
        <v>830</v>
      </c>
      <c r="AB12" s="435"/>
      <c r="AC12" s="435"/>
      <c r="AD12" s="430"/>
      <c r="AE12" s="430"/>
      <c r="AF12" s="430"/>
      <c r="AG12" s="430"/>
      <c r="AH12" s="430"/>
      <c r="AI12" s="430"/>
      <c r="AJ12" s="430"/>
      <c r="AK12" s="430"/>
      <c r="AL12" s="430"/>
      <c r="AM12" s="430"/>
      <c r="AN12" s="430"/>
      <c r="AO12" s="430"/>
      <c r="AP12" s="430"/>
      <c r="AQ12" s="435"/>
      <c r="AR12" s="435"/>
      <c r="AS12" s="435"/>
      <c r="AT12" s="439"/>
      <c r="AU12" s="432"/>
      <c r="AV12" s="430"/>
      <c r="AW12" s="430"/>
      <c r="AX12" s="430"/>
      <c r="AY12" s="438"/>
      <c r="AZ12" s="438"/>
      <c r="BA12" s="438"/>
      <c r="BB12" s="438"/>
      <c r="BC12" s="438"/>
      <c r="BD12" s="438"/>
    </row>
    <row r="13" spans="1:56" s="401" customFormat="1" x14ac:dyDescent="0.2">
      <c r="A13" s="433"/>
      <c r="B13" s="427"/>
      <c r="C13" s="428"/>
      <c r="D13" s="427"/>
      <c r="E13" s="427"/>
      <c r="F13" s="427"/>
      <c r="G13" s="427"/>
      <c r="H13" s="427"/>
      <c r="I13" s="427"/>
      <c r="J13" s="427"/>
      <c r="K13" s="427"/>
      <c r="L13" s="434" t="s">
        <v>874</v>
      </c>
      <c r="M13" s="434" t="s">
        <v>887</v>
      </c>
      <c r="N13" s="430"/>
      <c r="O13" s="430"/>
      <c r="P13" s="430"/>
      <c r="Q13" s="434"/>
      <c r="R13" s="434" t="s">
        <v>872</v>
      </c>
      <c r="S13" s="435" t="s">
        <v>876</v>
      </c>
      <c r="T13" s="436"/>
      <c r="U13" s="437"/>
      <c r="V13" s="437"/>
      <c r="W13" s="438"/>
      <c r="X13" s="436"/>
      <c r="Y13" s="437"/>
      <c r="Z13" s="438"/>
      <c r="AA13" s="435" t="s">
        <v>876</v>
      </c>
      <c r="AB13" s="435"/>
      <c r="AC13" s="435"/>
      <c r="AD13" s="430"/>
      <c r="AE13" s="430"/>
      <c r="AF13" s="430"/>
      <c r="AG13" s="430"/>
      <c r="AH13" s="430"/>
      <c r="AI13" s="430"/>
      <c r="AJ13" s="430"/>
      <c r="AK13" s="430"/>
      <c r="AL13" s="430"/>
      <c r="AM13" s="430"/>
      <c r="AN13" s="430"/>
      <c r="AO13" s="430"/>
      <c r="AP13" s="430"/>
      <c r="AQ13" s="435"/>
      <c r="AR13" s="435"/>
      <c r="AS13" s="435"/>
      <c r="AT13" s="439"/>
      <c r="AU13" s="432"/>
      <c r="AV13" s="430"/>
      <c r="AW13" s="430"/>
      <c r="AX13" s="430"/>
      <c r="AY13" s="438"/>
      <c r="AZ13" s="438"/>
      <c r="BA13" s="438"/>
      <c r="BB13" s="438"/>
      <c r="BC13" s="438"/>
      <c r="BD13" s="438"/>
    </row>
    <row r="14" spans="1:56" ht="15.75" x14ac:dyDescent="0.2">
      <c r="A14" s="417" t="s">
        <v>0</v>
      </c>
      <c r="B14" s="440">
        <f>'State Population'!I5</f>
        <v>1645359</v>
      </c>
      <c r="C14" s="441">
        <f t="shared" ref="C14:C45" si="0">B14/$B$73</f>
        <v>4.1708471659484908E-2</v>
      </c>
      <c r="D14" s="442">
        <f>'Poverty-Uninsured Population'!E3</f>
        <v>3.1723328207457609E-2</v>
      </c>
      <c r="E14" s="441">
        <f>Prevalence!J3</f>
        <v>3.027935991320857E-2</v>
      </c>
      <c r="F14" s="442">
        <f>(C14*C$8)+(D14*D$8)+(E14*E$8)</f>
        <v>3.6427106274621451E-2</v>
      </c>
      <c r="G14" s="443">
        <f>'Self Suff. Calc'!F5</f>
        <v>1.1733094724193571</v>
      </c>
      <c r="H14" s="442">
        <f>(F14*G14*G$8)+(F14*(1-G$8))</f>
        <v>3.8952371302708851E-2</v>
      </c>
      <c r="I14" s="442">
        <f>H14/H73</f>
        <v>3.7177284663399833E-2</v>
      </c>
      <c r="J14" s="442">
        <f>'Resources-new'!M4</f>
        <v>4.50433352615279E-2</v>
      </c>
      <c r="K14" s="442">
        <f>'[1]Allocation 2021-22'!K7</f>
        <v>3.8237E-2</v>
      </c>
      <c r="L14" s="444">
        <f t="shared" ref="L14:L45" si="1">(K14/K$73)</f>
        <v>3.778178458017694E-2</v>
      </c>
      <c r="M14" s="445">
        <f t="shared" ref="M14:M45" si="2">L14*$M$77</f>
        <v>48698817.152592316</v>
      </c>
      <c r="N14" s="446"/>
      <c r="O14" s="447">
        <f t="shared" ref="O14:O45" si="3">IF(N14=0,(X14/X$73)*N$73,0)</f>
        <v>0</v>
      </c>
      <c r="P14" s="445">
        <f t="shared" ref="P14:P44" si="4">M14+N14-O14</f>
        <v>48698817.152592316</v>
      </c>
      <c r="Q14" s="445">
        <f t="shared" ref="Q14:Q45" si="5">U14*$M$76</f>
        <v>56874162.158311777</v>
      </c>
      <c r="R14" s="448">
        <f t="shared" ref="R14:R44" si="6">P14+Q14</f>
        <v>105572979.31090409</v>
      </c>
      <c r="S14" s="449">
        <f>ROUND(R14/$R$73,8)</f>
        <v>3.6674730000000003E-2</v>
      </c>
      <c r="T14" s="450"/>
      <c r="U14" s="451">
        <v>3.5777105344137861E-2</v>
      </c>
      <c r="V14" s="451">
        <f>S14-U14</f>
        <v>8.9762465586214202E-4</v>
      </c>
      <c r="W14" s="423">
        <f t="shared" ref="W14:W44" si="7">IF(B14&lt;20000,250000+100000,350000+100000)</f>
        <v>450000</v>
      </c>
      <c r="X14" s="452">
        <f t="shared" ref="X14:X44" si="8">IF(N14=0,M14,0)</f>
        <v>48698817.152592316</v>
      </c>
      <c r="Y14" s="422">
        <v>3.5777105344137861E-2</v>
      </c>
      <c r="Z14" s="401"/>
      <c r="AA14" s="449">
        <v>3.5382719999999999E-2</v>
      </c>
      <c r="AB14" s="453">
        <v>3.5382720000000001</v>
      </c>
      <c r="AC14" s="454">
        <f>S14-AA14</f>
        <v>1.2920100000000032E-3</v>
      </c>
      <c r="AD14" s="455">
        <v>14917735.1</v>
      </c>
      <c r="AE14" s="455">
        <f>S14*AD73</f>
        <v>15462460.406310858</v>
      </c>
      <c r="AF14" s="455">
        <f>AE14-AD14</f>
        <v>544725.30631085858</v>
      </c>
      <c r="AG14" s="455">
        <v>3312411.12</v>
      </c>
      <c r="AH14" s="455">
        <f t="shared" ref="AH14:AH45" si="9">S14*$AG$73</f>
        <v>3433364.7457522899</v>
      </c>
      <c r="AI14" s="455">
        <f t="shared" ref="AI14:AI45" si="10">AH14-AG14</f>
        <v>120953.62575228978</v>
      </c>
      <c r="AJ14" s="455">
        <v>4563297.01</v>
      </c>
      <c r="AK14" s="455">
        <f t="shared" ref="AK14:AK45" si="11">S14*$AJ$73</f>
        <v>4729927.0857097963</v>
      </c>
      <c r="AL14" s="455">
        <f t="shared" ref="AL14:AL45" si="12">AK14-AJ14</f>
        <v>166630.07570979651</v>
      </c>
      <c r="AM14" s="455">
        <v>3597243.36</v>
      </c>
      <c r="AN14" s="455">
        <f t="shared" ref="AN14:AN45" si="13">S14*$AM$73</f>
        <v>3728597.7136915461</v>
      </c>
      <c r="AO14" s="455">
        <f t="shared" ref="AO14:AO45" si="14">AN14-AM14</f>
        <v>131354.35369154625</v>
      </c>
      <c r="AP14" s="455">
        <v>2666070.58</v>
      </c>
      <c r="AQ14" s="456">
        <f t="shared" ref="AQ14:AQ45" si="15">S14*$AP$73</f>
        <v>2763422.8967405823</v>
      </c>
      <c r="AR14" s="456">
        <f>AQ14-AP14</f>
        <v>97352.316740582231</v>
      </c>
      <c r="AS14" s="456">
        <f t="shared" ref="AS14:AS45" si="16">AD14+AG14+AJ14+AM14+AP14</f>
        <v>29056757.169999994</v>
      </c>
      <c r="AT14" s="457">
        <f t="shared" ref="AT14:AT31" si="17">SUM(AF14+AI14+AL14+AO14+AR14)</f>
        <v>1061015.6782050733</v>
      </c>
      <c r="AU14" s="458">
        <f t="shared" ref="AU14:AU45" si="18">$AU$75*S14</f>
        <v>27921470.729159217</v>
      </c>
      <c r="AV14" s="455"/>
      <c r="AW14" s="455">
        <f t="shared" ref="AW14:AW45" si="19">AU14-AS14</f>
        <v>-1135286.440840777</v>
      </c>
      <c r="AX14" s="459">
        <f t="shared" ref="AX14:AX45" si="20">S14-AA14</f>
        <v>1.2920100000000032E-3</v>
      </c>
      <c r="AY14" s="460"/>
      <c r="AZ14" s="461">
        <v>26390686.59</v>
      </c>
      <c r="BA14" s="462"/>
      <c r="BB14" s="460">
        <f t="shared" ref="BB14:BB45" si="21">S14*$BB$73</f>
        <v>3667473.0000000005</v>
      </c>
      <c r="BC14" s="460">
        <f>AT14</f>
        <v>1061015.6782050733</v>
      </c>
      <c r="BD14" s="460">
        <f>BB14+BC14</f>
        <v>4728488.6782050738</v>
      </c>
    </row>
    <row r="15" spans="1:56" ht="15.75" x14ac:dyDescent="0.2">
      <c r="A15" s="463" t="s">
        <v>1</v>
      </c>
      <c r="B15" s="440">
        <f>'State Population'!I6</f>
        <v>1151</v>
      </c>
      <c r="C15" s="441">
        <f t="shared" si="0"/>
        <v>2.9176885336310878E-5</v>
      </c>
      <c r="D15" s="442">
        <f>'Poverty-Uninsured Population'!E4</f>
        <v>2.966523689876292E-5</v>
      </c>
      <c r="E15" s="441">
        <f>Prevalence!J4</f>
        <v>3.345086339390652E-5</v>
      </c>
      <c r="F15" s="442">
        <f>(C15*C$8)+(D15*D$8)+(E15*E$8)</f>
        <v>3.017818641656562E-5</v>
      </c>
      <c r="G15" s="443">
        <f>'Self Suff. Calc'!F6</f>
        <v>0.90460550010772867</v>
      </c>
      <c r="H15" s="442">
        <f>(F15*G15*G$8)+(F15*(1-G$8))</f>
        <v>2.9026653216220016E-5</v>
      </c>
      <c r="I15" s="442">
        <f t="shared" ref="I15:I46" si="22">(H15/H$73)</f>
        <v>2.7703888450307419E-5</v>
      </c>
      <c r="J15" s="442">
        <f>'Resources-new'!M5</f>
        <v>5.0474974891914347E-4</v>
      </c>
      <c r="K15" s="442">
        <f>'[1]Allocation 2021-22'!K8</f>
        <v>2.1999999999999999E-5</v>
      </c>
      <c r="L15" s="444">
        <f t="shared" si="1"/>
        <v>2.1738087736064352E-5</v>
      </c>
      <c r="M15" s="445">
        <f t="shared" si="2"/>
        <v>28019.300085180086</v>
      </c>
      <c r="N15" s="447"/>
      <c r="O15" s="447">
        <f t="shared" si="3"/>
        <v>0</v>
      </c>
      <c r="P15" s="445">
        <f t="shared" si="4"/>
        <v>28019.300085180086</v>
      </c>
      <c r="Q15" s="445">
        <f t="shared" si="5"/>
        <v>1449937.2114295044</v>
      </c>
      <c r="R15" s="445">
        <f t="shared" si="6"/>
        <v>1477956.5115146844</v>
      </c>
      <c r="S15" s="449">
        <f t="shared" ref="S15:S72" si="23">ROUND(R15/$R$73,8)</f>
        <v>5.1342E-4</v>
      </c>
      <c r="T15" s="450"/>
      <c r="U15" s="451">
        <v>9.1209354805621087E-4</v>
      </c>
      <c r="V15" s="451">
        <f t="shared" ref="V15:V72" si="24">S15-U15</f>
        <v>-3.9867354805621087E-4</v>
      </c>
      <c r="W15" s="423">
        <f t="shared" si="7"/>
        <v>350000</v>
      </c>
      <c r="X15" s="452">
        <f t="shared" si="8"/>
        <v>28019.300085180086</v>
      </c>
      <c r="Y15" s="422">
        <v>9.1209354805621087E-4</v>
      </c>
      <c r="Z15" s="401"/>
      <c r="AA15" s="449">
        <v>7.5431999999999995E-4</v>
      </c>
      <c r="AB15" s="420">
        <v>7.5431999999999999E-2</v>
      </c>
      <c r="AC15" s="459">
        <f>S15-AA15</f>
        <v>-2.4089999999999995E-4</v>
      </c>
      <c r="AD15" s="455">
        <v>318029.42</v>
      </c>
      <c r="AE15" s="455">
        <f>S15*AD73</f>
        <v>216463.39105449777</v>
      </c>
      <c r="AF15" s="455">
        <f t="shared" ref="AF15:AF73" si="25">AE15-AD15</f>
        <v>-101566.02894550221</v>
      </c>
      <c r="AG15" s="455">
        <v>70616.899999999994</v>
      </c>
      <c r="AH15" s="455">
        <f t="shared" si="9"/>
        <v>48064.651812409815</v>
      </c>
      <c r="AI15" s="455">
        <f t="shared" si="10"/>
        <v>-22552.248187590179</v>
      </c>
      <c r="AJ15" s="455">
        <v>97284.39</v>
      </c>
      <c r="AK15" s="455">
        <f t="shared" si="11"/>
        <v>66215.597615718609</v>
      </c>
      <c r="AL15" s="455">
        <f t="shared" si="12"/>
        <v>-31068.792384281391</v>
      </c>
      <c r="AM15" s="455">
        <v>76689.2</v>
      </c>
      <c r="AN15" s="455">
        <f t="shared" si="13"/>
        <v>52197.702291564616</v>
      </c>
      <c r="AO15" s="455">
        <f t="shared" si="14"/>
        <v>-24491.497708435381</v>
      </c>
      <c r="AP15" s="455">
        <v>56837.64</v>
      </c>
      <c r="AQ15" s="456">
        <f t="shared" si="15"/>
        <v>38685.94489024322</v>
      </c>
      <c r="AR15" s="456">
        <f t="shared" ref="AR15:AR73" si="26">AQ15-AP15</f>
        <v>-18151.69510975678</v>
      </c>
      <c r="AS15" s="456">
        <f t="shared" si="16"/>
        <v>619457.54999999993</v>
      </c>
      <c r="AT15" s="457">
        <f t="shared" si="17"/>
        <v>-197830.26233556596</v>
      </c>
      <c r="AU15" s="458">
        <f t="shared" si="18"/>
        <v>390880.62820816744</v>
      </c>
      <c r="AV15" s="455"/>
      <c r="AW15" s="455">
        <f t="shared" si="19"/>
        <v>-228576.92179183249</v>
      </c>
      <c r="AX15" s="459">
        <f t="shared" si="20"/>
        <v>-2.4089999999999995E-4</v>
      </c>
      <c r="AY15" s="460"/>
      <c r="AZ15" s="461">
        <v>562619.91</v>
      </c>
      <c r="BA15" s="462"/>
      <c r="BB15" s="460">
        <f t="shared" si="21"/>
        <v>51342</v>
      </c>
      <c r="BC15" s="460">
        <f>AT15</f>
        <v>-197830.26233556596</v>
      </c>
      <c r="BD15" s="460">
        <f t="shared" ref="BD15:BD73" si="27">BB15+BC15</f>
        <v>-146488.26233556596</v>
      </c>
    </row>
    <row r="16" spans="1:56" ht="15.75" x14ac:dyDescent="0.2">
      <c r="A16" s="463" t="s">
        <v>2</v>
      </c>
      <c r="B16" s="440">
        <f>'State Population'!I7</f>
        <v>38382</v>
      </c>
      <c r="C16" s="441">
        <f t="shared" si="0"/>
        <v>9.7295153169268825E-4</v>
      </c>
      <c r="D16" s="442">
        <f>'Poverty-Uninsured Population'!E5</f>
        <v>7.2408579011648121E-4</v>
      </c>
      <c r="E16" s="441">
        <f>Prevalence!J5</f>
        <v>7.2959045294277195E-4</v>
      </c>
      <c r="F16" s="442">
        <f>(C16*C$8)+(D16*D$8)+(E16*E$8)</f>
        <v>8.4961959346984296E-4</v>
      </c>
      <c r="G16" s="443">
        <f>'Self Suff. Calc'!F7</f>
        <v>0.96729188868321758</v>
      </c>
      <c r="H16" s="442">
        <f>(F16*G16*G$8)+(F16*(1-G$8))</f>
        <v>8.3850381257379058E-4</v>
      </c>
      <c r="I16" s="442">
        <f t="shared" si="22"/>
        <v>8.0029261092081445E-4</v>
      </c>
      <c r="J16" s="442">
        <f>'Resources-new'!M6</f>
        <v>1.153680352519774E-3</v>
      </c>
      <c r="K16" s="442">
        <f>'[1]Allocation 2021-22'!K9</f>
        <v>6.8199999999999999E-4</v>
      </c>
      <c r="L16" s="444">
        <f t="shared" si="1"/>
        <v>6.7388071981799489E-4</v>
      </c>
      <c r="M16" s="445">
        <f t="shared" si="2"/>
        <v>868598.30264058255</v>
      </c>
      <c r="N16" s="447"/>
      <c r="O16" s="447">
        <f t="shared" si="3"/>
        <v>0</v>
      </c>
      <c r="P16" s="445">
        <f t="shared" si="4"/>
        <v>868598.30264058255</v>
      </c>
      <c r="Q16" s="445">
        <f t="shared" si="5"/>
        <v>2609952.2049191012</v>
      </c>
      <c r="R16" s="445">
        <f t="shared" si="6"/>
        <v>3478550.5075596836</v>
      </c>
      <c r="S16" s="449">
        <f t="shared" si="23"/>
        <v>1.2084000000000001E-3</v>
      </c>
      <c r="T16" s="450"/>
      <c r="U16" s="451">
        <v>1.6418094163503948E-3</v>
      </c>
      <c r="V16" s="451">
        <f t="shared" si="24"/>
        <v>-4.3340941635039475E-4</v>
      </c>
      <c r="W16" s="423">
        <f t="shared" si="7"/>
        <v>450000</v>
      </c>
      <c r="X16" s="452">
        <f t="shared" si="8"/>
        <v>868598.30264058255</v>
      </c>
      <c r="Y16" s="422">
        <v>1.6418094163503948E-3</v>
      </c>
      <c r="Z16" s="401"/>
      <c r="AA16" s="449">
        <v>1.4729599999999999E-3</v>
      </c>
      <c r="AB16" s="420">
        <v>0.14729600000000001</v>
      </c>
      <c r="AC16" s="459">
        <f t="shared" ref="AC16:AC72" si="28">S16-AA16</f>
        <v>-2.6455999999999984E-4</v>
      </c>
      <c r="AD16" s="455">
        <v>621015.77</v>
      </c>
      <c r="AE16" s="455">
        <f>S16*AD73</f>
        <v>509474.42980455596</v>
      </c>
      <c r="AF16" s="455">
        <f t="shared" si="25"/>
        <v>-111541.34019544406</v>
      </c>
      <c r="AG16" s="455">
        <v>137893.56</v>
      </c>
      <c r="AH16" s="455">
        <f t="shared" si="9"/>
        <v>113126.33954679604</v>
      </c>
      <c r="AI16" s="455">
        <f t="shared" si="10"/>
        <v>-24767.220453203961</v>
      </c>
      <c r="AJ16" s="455">
        <v>189967.14</v>
      </c>
      <c r="AK16" s="455">
        <f t="shared" si="11"/>
        <v>155846.92485457202</v>
      </c>
      <c r="AL16" s="455">
        <f t="shared" si="12"/>
        <v>-34120.215145427996</v>
      </c>
      <c r="AM16" s="455">
        <v>149750.94</v>
      </c>
      <c r="AN16" s="455">
        <f t="shared" si="13"/>
        <v>122854.00539349204</v>
      </c>
      <c r="AO16" s="455">
        <f t="shared" si="14"/>
        <v>-26896.934606507959</v>
      </c>
      <c r="AP16" s="455">
        <v>110986.81</v>
      </c>
      <c r="AQ16" s="456">
        <f t="shared" si="15"/>
        <v>91052.346627264051</v>
      </c>
      <c r="AR16" s="456">
        <f t="shared" si="26"/>
        <v>-19934.463372735947</v>
      </c>
      <c r="AS16" s="456">
        <f t="shared" si="16"/>
        <v>1209614.2200000002</v>
      </c>
      <c r="AT16" s="457">
        <f t="shared" si="17"/>
        <v>-217260.17377331993</v>
      </c>
      <c r="AU16" s="458">
        <f t="shared" si="18"/>
        <v>919987.82892514812</v>
      </c>
      <c r="AV16" s="455"/>
      <c r="AW16" s="455">
        <f t="shared" si="19"/>
        <v>-289626.39107485209</v>
      </c>
      <c r="AX16" s="459">
        <f t="shared" si="20"/>
        <v>-2.6455999999999984E-4</v>
      </c>
      <c r="AY16" s="460"/>
      <c r="AZ16" s="461">
        <v>1098627.4099999999</v>
      </c>
      <c r="BA16" s="462"/>
      <c r="BB16" s="460">
        <f t="shared" si="21"/>
        <v>120840.00000000001</v>
      </c>
      <c r="BC16" s="460">
        <f>AT16</f>
        <v>-217260.17377331993</v>
      </c>
      <c r="BD16" s="460">
        <f t="shared" si="27"/>
        <v>-96420.173773319912</v>
      </c>
    </row>
    <row r="17" spans="1:56" ht="15.75" x14ac:dyDescent="0.2">
      <c r="A17" s="417" t="s">
        <v>3</v>
      </c>
      <c r="B17" s="440">
        <f>'State Population'!I8</f>
        <v>226404</v>
      </c>
      <c r="C17" s="441">
        <f t="shared" si="0"/>
        <v>5.7391516487246986E-3</v>
      </c>
      <c r="D17" s="442">
        <f>'Poverty-Uninsured Population'!E6</f>
        <v>6.8506180299237355E-3</v>
      </c>
      <c r="E17" s="441">
        <f>Prevalence!J6</f>
        <v>7.6286050085887349E-3</v>
      </c>
      <c r="F17" s="442">
        <f>(C17*C$8)+(D17*D$8)+(E17*E$8)</f>
        <v>6.4504822350572172E-3</v>
      </c>
      <c r="G17" s="443">
        <f>'Self Suff. Calc'!F8</f>
        <v>0.86610243577923329</v>
      </c>
      <c r="H17" s="442">
        <f>(F17*G17*G$8)+(F17*(1-G$8))</f>
        <v>6.1050006913278216E-3</v>
      </c>
      <c r="I17" s="442">
        <f t="shared" si="22"/>
        <v>5.8267915657284593E-3</v>
      </c>
      <c r="J17" s="442">
        <f>'Resources-new'!M8</f>
        <v>7.8361740798226515E-3</v>
      </c>
      <c r="K17" s="442">
        <f>'[1]Allocation 2021-22'!K10</f>
        <v>4.9300000000000004E-3</v>
      </c>
      <c r="L17" s="444">
        <f t="shared" si="1"/>
        <v>4.8713078426726028E-3</v>
      </c>
      <c r="M17" s="445">
        <f t="shared" si="2"/>
        <v>6278870.4281789921</v>
      </c>
      <c r="N17" s="447"/>
      <c r="O17" s="447">
        <f t="shared" si="3"/>
        <v>0</v>
      </c>
      <c r="P17" s="445">
        <f t="shared" si="4"/>
        <v>6278870.4281789921</v>
      </c>
      <c r="Q17" s="445">
        <f t="shared" si="5"/>
        <v>9302296.2255544737</v>
      </c>
      <c r="R17" s="445">
        <f t="shared" si="6"/>
        <v>15581166.653733466</v>
      </c>
      <c r="S17" s="449">
        <f t="shared" si="23"/>
        <v>5.4127000000000003E-3</v>
      </c>
      <c r="T17" s="450"/>
      <c r="U17" s="451">
        <v>5.851677095086676E-3</v>
      </c>
      <c r="V17" s="451">
        <f t="shared" si="24"/>
        <v>-4.3897709508667563E-4</v>
      </c>
      <c r="W17" s="423">
        <f t="shared" si="7"/>
        <v>450000</v>
      </c>
      <c r="X17" s="452">
        <f t="shared" si="8"/>
        <v>6278870.4281789921</v>
      </c>
      <c r="Y17" s="422">
        <v>5.851677095086676E-3</v>
      </c>
      <c r="Z17" s="401"/>
      <c r="AA17" s="449">
        <v>5.7779399999999996E-3</v>
      </c>
      <c r="AB17" s="420">
        <v>0.57779400000000003</v>
      </c>
      <c r="AC17" s="459">
        <f t="shared" si="28"/>
        <v>-3.6523999999999932E-4</v>
      </c>
      <c r="AD17" s="455">
        <v>2436041.61</v>
      </c>
      <c r="AE17" s="455">
        <f t="shared" ref="AE17:AE48" si="29">S17*$AD$73</f>
        <v>2282052.5043057925</v>
      </c>
      <c r="AF17" s="455">
        <f t="shared" si="25"/>
        <v>-153989.10569420736</v>
      </c>
      <c r="AG17" s="455">
        <v>540911.29</v>
      </c>
      <c r="AH17" s="455">
        <f t="shared" si="9"/>
        <v>506718.75046751316</v>
      </c>
      <c r="AI17" s="455">
        <f t="shared" si="10"/>
        <v>-34192.539532486873</v>
      </c>
      <c r="AJ17" s="455">
        <v>745178.9</v>
      </c>
      <c r="AK17" s="455">
        <f t="shared" si="11"/>
        <v>698074.02363484108</v>
      </c>
      <c r="AL17" s="455">
        <f t="shared" si="12"/>
        <v>-47104.87636515894</v>
      </c>
      <c r="AM17" s="455">
        <v>587423.93000000005</v>
      </c>
      <c r="AN17" s="455">
        <f t="shared" si="13"/>
        <v>550291.19082535116</v>
      </c>
      <c r="AO17" s="455">
        <f t="shared" si="14"/>
        <v>-37132.739174648887</v>
      </c>
      <c r="AP17" s="455">
        <v>435364.94</v>
      </c>
      <c r="AQ17" s="456">
        <f t="shared" si="15"/>
        <v>407844.28714779223</v>
      </c>
      <c r="AR17" s="456">
        <f t="shared" si="26"/>
        <v>-27520.652852207772</v>
      </c>
      <c r="AS17" s="456">
        <f t="shared" si="16"/>
        <v>4744920.67</v>
      </c>
      <c r="AT17" s="457">
        <f t="shared" si="17"/>
        <v>-299939.91361870983</v>
      </c>
      <c r="AU17" s="458">
        <f t="shared" si="18"/>
        <v>4120835.9166030693</v>
      </c>
      <c r="AV17" s="455"/>
      <c r="AW17" s="455">
        <f t="shared" si="19"/>
        <v>-624084.75339693064</v>
      </c>
      <c r="AX17" s="459">
        <f t="shared" si="20"/>
        <v>-3.6523999999999932E-4</v>
      </c>
      <c r="AY17" s="460"/>
      <c r="AZ17" s="461">
        <v>4309555.7300000004</v>
      </c>
      <c r="BA17" s="462"/>
      <c r="BB17" s="460">
        <f t="shared" si="21"/>
        <v>541270</v>
      </c>
      <c r="BC17" s="460">
        <f>AT17</f>
        <v>-299939.91361870983</v>
      </c>
      <c r="BD17" s="460">
        <f t="shared" si="27"/>
        <v>241330.08638129017</v>
      </c>
    </row>
    <row r="18" spans="1:56" ht="15.75" x14ac:dyDescent="0.2">
      <c r="A18" s="417" t="s">
        <v>4</v>
      </c>
      <c r="B18" s="440">
        <f>'State Population'!I9</f>
        <v>45168</v>
      </c>
      <c r="C18" s="441">
        <f t="shared" si="0"/>
        <v>1.1449709442836575E-3</v>
      </c>
      <c r="D18" s="442">
        <f>'Poverty-Uninsured Population'!E7</f>
        <v>8.5577595722106914E-4</v>
      </c>
      <c r="E18" s="441">
        <f>Prevalence!J7</f>
        <v>1.0803724798842782E-3</v>
      </c>
      <c r="F18" s="442">
        <f>(C18*C$8)+(D18*D$8)+(E18*E$8)</f>
        <v>1.0452927552850051E-3</v>
      </c>
      <c r="G18" s="443">
        <f>'Self Suff. Calc'!F9</f>
        <v>0.9437650288074253</v>
      </c>
      <c r="H18" s="442">
        <f>(F18*G18*G$8)+(F18*(1-G$8))</f>
        <v>1.0217799520925014E-3</v>
      </c>
      <c r="I18" s="442">
        <f t="shared" si="22"/>
        <v>9.7521672935111531E-4</v>
      </c>
      <c r="J18" s="442">
        <f>'Resources-new'!M9</f>
        <v>1.342197046752308E-3</v>
      </c>
      <c r="K18" s="442">
        <f>'[1]Allocation 2021-22'!K11</f>
        <v>9.3700000000000001E-4</v>
      </c>
      <c r="L18" s="444">
        <f t="shared" si="1"/>
        <v>9.2584491857692264E-4</v>
      </c>
      <c r="M18" s="445">
        <f t="shared" si="2"/>
        <v>1193367.4627188065</v>
      </c>
      <c r="N18" s="447"/>
      <c r="O18" s="447">
        <f t="shared" si="3"/>
        <v>0</v>
      </c>
      <c r="P18" s="445">
        <f t="shared" si="4"/>
        <v>1193367.4627188065</v>
      </c>
      <c r="Q18" s="445">
        <f t="shared" si="5"/>
        <v>2822094.3902620822</v>
      </c>
      <c r="R18" s="445">
        <f t="shared" si="6"/>
        <v>4015461.8529808884</v>
      </c>
      <c r="S18" s="449">
        <f t="shared" si="23"/>
        <v>1.39492E-3</v>
      </c>
      <c r="T18" s="450"/>
      <c r="U18" s="451">
        <v>1.7752590009231716E-3</v>
      </c>
      <c r="V18" s="451">
        <f t="shared" si="24"/>
        <v>-3.8033900092317163E-4</v>
      </c>
      <c r="W18" s="423">
        <f t="shared" si="7"/>
        <v>450000</v>
      </c>
      <c r="X18" s="452">
        <f t="shared" si="8"/>
        <v>1193367.4627188065</v>
      </c>
      <c r="Y18" s="422">
        <v>1.7752590009231716E-3</v>
      </c>
      <c r="Z18" s="401"/>
      <c r="AA18" s="449">
        <v>1.6139800000000001E-3</v>
      </c>
      <c r="AB18" s="420">
        <v>0.16139800000000001</v>
      </c>
      <c r="AC18" s="459">
        <f t="shared" si="28"/>
        <v>-2.1906000000000009E-4</v>
      </c>
      <c r="AD18" s="455">
        <v>680471.32</v>
      </c>
      <c r="AE18" s="455">
        <f t="shared" si="29"/>
        <v>588113.26681808266</v>
      </c>
      <c r="AF18" s="455">
        <f t="shared" si="25"/>
        <v>-92358.05318191729</v>
      </c>
      <c r="AG18" s="455">
        <v>151095.37</v>
      </c>
      <c r="AH18" s="455">
        <f t="shared" si="9"/>
        <v>130587.71396939484</v>
      </c>
      <c r="AI18" s="455">
        <f t="shared" si="10"/>
        <v>-20507.656030605154</v>
      </c>
      <c r="AJ18" s="455">
        <v>208154.44</v>
      </c>
      <c r="AK18" s="455">
        <f t="shared" si="11"/>
        <v>179902.34394086362</v>
      </c>
      <c r="AL18" s="455">
        <f t="shared" si="12"/>
        <v>-28252.096059136384</v>
      </c>
      <c r="AM18" s="455">
        <v>164087.97</v>
      </c>
      <c r="AN18" s="455">
        <f t="shared" si="13"/>
        <v>141816.87289265962</v>
      </c>
      <c r="AO18" s="455">
        <f t="shared" si="14"/>
        <v>-22271.097107340378</v>
      </c>
      <c r="AP18" s="455">
        <v>121612.6</v>
      </c>
      <c r="AQ18" s="456">
        <f t="shared" si="15"/>
        <v>105106.53703848325</v>
      </c>
      <c r="AR18" s="456">
        <f t="shared" si="26"/>
        <v>-16506.062961516756</v>
      </c>
      <c r="AS18" s="456">
        <f t="shared" si="16"/>
        <v>1325421.7</v>
      </c>
      <c r="AT18" s="457">
        <f t="shared" si="17"/>
        <v>-179894.96534051595</v>
      </c>
      <c r="AU18" s="458">
        <f t="shared" si="18"/>
        <v>1061990.5845119725</v>
      </c>
      <c r="AV18" s="455"/>
      <c r="AW18" s="455">
        <f t="shared" si="19"/>
        <v>-263431.11548802746</v>
      </c>
      <c r="AX18" s="459">
        <f t="shared" si="20"/>
        <v>-2.1906000000000009E-4</v>
      </c>
      <c r="AY18" s="460"/>
      <c r="AZ18" s="461">
        <v>1203809.1000000001</v>
      </c>
      <c r="BA18" s="462"/>
      <c r="BB18" s="460">
        <f t="shared" si="21"/>
        <v>139492</v>
      </c>
      <c r="BC18" s="460">
        <f t="shared" ref="BC18:BC73" si="30">AT18</f>
        <v>-179894.96534051595</v>
      </c>
      <c r="BD18" s="460">
        <f t="shared" si="27"/>
        <v>-40402.965340515948</v>
      </c>
    </row>
    <row r="19" spans="1:56" ht="15.75" x14ac:dyDescent="0.2">
      <c r="A19" s="417" t="s">
        <v>5</v>
      </c>
      <c r="B19" s="440">
        <f>'State Population'!I10</f>
        <v>22043</v>
      </c>
      <c r="C19" s="441">
        <f t="shared" si="0"/>
        <v>5.5877157555890588E-4</v>
      </c>
      <c r="D19" s="442">
        <f>'Poverty-Uninsured Population'!E8</f>
        <v>6.5978720694687078E-4</v>
      </c>
      <c r="E19" s="441">
        <f>Prevalence!J8</f>
        <v>7.313986077208209E-4</v>
      </c>
      <c r="F19" s="442">
        <f t="shared" ref="F19:F65" si="31">(C19*C$8)+(D19*D$8)+(E19*E$8)</f>
        <v>6.2360167140767836E-4</v>
      </c>
      <c r="G19" s="443">
        <f>'Self Suff. Calc'!F10</f>
        <v>0.83604939588164595</v>
      </c>
      <c r="H19" s="442">
        <f t="shared" ref="H19:H65" si="32">(F19*G19*G$8)+(F19*(1-G$8))</f>
        <v>5.8270572310507667E-4</v>
      </c>
      <c r="I19" s="442">
        <f t="shared" si="22"/>
        <v>5.5615141821579279E-4</v>
      </c>
      <c r="J19" s="442">
        <f>'Resources-new'!M10</f>
        <v>1.1506299712367226E-3</v>
      </c>
      <c r="K19" s="442">
        <f>'[1]Allocation 2021-22'!K12</f>
        <v>4.4799999999999999E-4</v>
      </c>
      <c r="L19" s="444">
        <f t="shared" si="1"/>
        <v>4.4266651389803771E-4</v>
      </c>
      <c r="M19" s="445">
        <f t="shared" si="2"/>
        <v>570574.83809821261</v>
      </c>
      <c r="N19" s="447"/>
      <c r="O19" s="447">
        <f t="shared" si="3"/>
        <v>0</v>
      </c>
      <c r="P19" s="445">
        <f t="shared" si="4"/>
        <v>570574.83809821261</v>
      </c>
      <c r="Q19" s="445">
        <f t="shared" si="5"/>
        <v>2350033.1861360795</v>
      </c>
      <c r="R19" s="445">
        <f t="shared" si="6"/>
        <v>2920608.0242342921</v>
      </c>
      <c r="S19" s="449">
        <f t="shared" si="23"/>
        <v>1.01458E-3</v>
      </c>
      <c r="T19" s="450"/>
      <c r="U19" s="451">
        <v>1.4783054672274079E-3</v>
      </c>
      <c r="V19" s="451">
        <f t="shared" si="24"/>
        <v>-4.6372546722740792E-4</v>
      </c>
      <c r="W19" s="423">
        <f t="shared" si="7"/>
        <v>450000</v>
      </c>
      <c r="X19" s="452">
        <f t="shared" si="8"/>
        <v>570574.83809821261</v>
      </c>
      <c r="Y19" s="422">
        <v>1.4783054672274079E-3</v>
      </c>
      <c r="Z19" s="401"/>
      <c r="AA19" s="449">
        <v>1.29086E-3</v>
      </c>
      <c r="AB19" s="420">
        <v>0.12908600000000001</v>
      </c>
      <c r="AC19" s="459">
        <f t="shared" si="28"/>
        <v>-2.7628000000000006E-4</v>
      </c>
      <c r="AD19" s="455">
        <v>544240.44999999995</v>
      </c>
      <c r="AE19" s="455">
        <f t="shared" si="29"/>
        <v>427757.83431902208</v>
      </c>
      <c r="AF19" s="455">
        <f t="shared" si="25"/>
        <v>-116482.61568097788</v>
      </c>
      <c r="AG19" s="455">
        <v>120845.97</v>
      </c>
      <c r="AH19" s="455">
        <f t="shared" si="9"/>
        <v>94981.563701910229</v>
      </c>
      <c r="AI19" s="455">
        <f t="shared" si="10"/>
        <v>-25864.406298089772</v>
      </c>
      <c r="AJ19" s="455">
        <v>166481.76</v>
      </c>
      <c r="AK19" s="455">
        <f t="shared" si="11"/>
        <v>130850.0273245214</v>
      </c>
      <c r="AL19" s="455">
        <f t="shared" si="12"/>
        <v>-35631.732675478605</v>
      </c>
      <c r="AM19" s="455">
        <v>131237.44</v>
      </c>
      <c r="AN19" s="455">
        <f t="shared" si="13"/>
        <v>103148.97119507541</v>
      </c>
      <c r="AO19" s="455">
        <f t="shared" si="14"/>
        <v>-28088.468804924589</v>
      </c>
      <c r="AP19" s="455">
        <v>97265.67</v>
      </c>
      <c r="AQ19" s="456">
        <f t="shared" si="15"/>
        <v>76448.104800636836</v>
      </c>
      <c r="AR19" s="456">
        <f t="shared" si="26"/>
        <v>-20817.565199363162</v>
      </c>
      <c r="AS19" s="456">
        <f t="shared" si="16"/>
        <v>1060071.2899999998</v>
      </c>
      <c r="AT19" s="457">
        <f t="shared" si="17"/>
        <v>-226884.788658834</v>
      </c>
      <c r="AU19" s="458">
        <f t="shared" si="18"/>
        <v>772427.38453399262</v>
      </c>
      <c r="AV19" s="455"/>
      <c r="AW19" s="455">
        <f t="shared" si="19"/>
        <v>-287643.90546600719</v>
      </c>
      <c r="AX19" s="459">
        <f t="shared" si="20"/>
        <v>-2.7628000000000006E-4</v>
      </c>
      <c r="AY19" s="460"/>
      <c r="AZ19" s="461">
        <v>962805.62</v>
      </c>
      <c r="BA19" s="462"/>
      <c r="BB19" s="460">
        <f t="shared" si="21"/>
        <v>101458</v>
      </c>
      <c r="BC19" s="460">
        <f t="shared" si="30"/>
        <v>-226884.788658834</v>
      </c>
      <c r="BD19" s="460">
        <f t="shared" si="27"/>
        <v>-125426.788658834</v>
      </c>
    </row>
    <row r="20" spans="1:56" ht="15.75" x14ac:dyDescent="0.2">
      <c r="A20" s="417" t="s">
        <v>6</v>
      </c>
      <c r="B20" s="440">
        <f>'State Population'!I11</f>
        <v>1139513</v>
      </c>
      <c r="C20" s="441">
        <f t="shared" si="0"/>
        <v>2.8885699513671259E-2</v>
      </c>
      <c r="D20" s="442">
        <f>'Poverty-Uninsured Population'!E9</f>
        <v>1.9714232892697161E-2</v>
      </c>
      <c r="E20" s="441">
        <f>Prevalence!J9</f>
        <v>1.6715486845673991E-2</v>
      </c>
      <c r="F20" s="442">
        <f t="shared" si="31"/>
        <v>2.3700216993779576E-2</v>
      </c>
      <c r="G20" s="443">
        <f>'Self Suff. Calc'!F11</f>
        <v>1.1777092781536223</v>
      </c>
      <c r="H20" s="442">
        <f t="shared" si="32"/>
        <v>2.5384916375399087E-2</v>
      </c>
      <c r="I20" s="442">
        <f t="shared" si="22"/>
        <v>2.4228108088997946E-2</v>
      </c>
      <c r="J20" s="442">
        <f>'Resources-new'!M11</f>
        <v>2.4153365100820369E-2</v>
      </c>
      <c r="K20" s="442">
        <f>'[1]Allocation 2021-22'!K13</f>
        <v>2.7181E-2</v>
      </c>
      <c r="L20" s="444">
        <f t="shared" si="1"/>
        <v>2.6857407397907505E-2</v>
      </c>
      <c r="M20" s="445">
        <f t="shared" si="2"/>
        <v>34617845.255239993</v>
      </c>
      <c r="N20" s="447"/>
      <c r="O20" s="447">
        <f t="shared" si="3"/>
        <v>0</v>
      </c>
      <c r="P20" s="445">
        <f t="shared" si="4"/>
        <v>34617845.255239993</v>
      </c>
      <c r="Q20" s="445">
        <f t="shared" si="5"/>
        <v>36128254.42824509</v>
      </c>
      <c r="R20" s="445">
        <f t="shared" si="6"/>
        <v>70746099.683485091</v>
      </c>
      <c r="S20" s="449">
        <f t="shared" si="23"/>
        <v>2.4576310000000001E-2</v>
      </c>
      <c r="T20" s="450"/>
      <c r="U20" s="451">
        <v>2.2726741204226075E-2</v>
      </c>
      <c r="V20" s="451">
        <f t="shared" si="24"/>
        <v>1.8495687957739253E-3</v>
      </c>
      <c r="W20" s="423">
        <f t="shared" si="7"/>
        <v>450000</v>
      </c>
      <c r="X20" s="452">
        <f t="shared" si="8"/>
        <v>34617845.255239993</v>
      </c>
      <c r="Y20" s="422">
        <v>2.2726741204226075E-2</v>
      </c>
      <c r="Z20" s="401"/>
      <c r="AA20" s="449">
        <v>2.3077360000000002E-2</v>
      </c>
      <c r="AB20" s="420">
        <v>2.3077359999999998</v>
      </c>
      <c r="AC20" s="459">
        <f t="shared" si="28"/>
        <v>1.4989499999999989E-3</v>
      </c>
      <c r="AD20" s="455">
        <v>9729663.0500000007</v>
      </c>
      <c r="AE20" s="455">
        <f t="shared" si="29"/>
        <v>10361636.481256211</v>
      </c>
      <c r="AF20" s="455">
        <f t="shared" si="25"/>
        <v>631973.43125621043</v>
      </c>
      <c r="AG20" s="455">
        <v>2160424.75</v>
      </c>
      <c r="AH20" s="455">
        <f t="shared" si="9"/>
        <v>2300751.3984337295</v>
      </c>
      <c r="AI20" s="455">
        <f t="shared" si="10"/>
        <v>140326.64843372954</v>
      </c>
      <c r="AJ20" s="455">
        <v>2976279.04</v>
      </c>
      <c r="AK20" s="455">
        <f t="shared" si="11"/>
        <v>3169598.0948135275</v>
      </c>
      <c r="AL20" s="455">
        <f t="shared" si="12"/>
        <v>193319.0548135275</v>
      </c>
      <c r="AM20" s="455">
        <v>2346198.37</v>
      </c>
      <c r="AN20" s="455">
        <f t="shared" si="13"/>
        <v>2498591.626358931</v>
      </c>
      <c r="AO20" s="455">
        <f t="shared" si="14"/>
        <v>152393.25635893084</v>
      </c>
      <c r="AP20" s="455">
        <v>1738867.74</v>
      </c>
      <c r="AQ20" s="456">
        <f t="shared" si="15"/>
        <v>1851812.8905487387</v>
      </c>
      <c r="AR20" s="456">
        <f t="shared" si="26"/>
        <v>112945.15054873866</v>
      </c>
      <c r="AS20" s="456">
        <f t="shared" si="16"/>
        <v>18951432.949999999</v>
      </c>
      <c r="AT20" s="457">
        <f t="shared" si="17"/>
        <v>1230957.541411137</v>
      </c>
      <c r="AU20" s="458">
        <f t="shared" si="18"/>
        <v>18710614.101201098</v>
      </c>
      <c r="AV20" s="455"/>
      <c r="AW20" s="455">
        <f t="shared" si="19"/>
        <v>-240818.84879890084</v>
      </c>
      <c r="AX20" s="459">
        <f t="shared" si="20"/>
        <v>1.4989499999999989E-3</v>
      </c>
      <c r="AY20" s="460"/>
      <c r="AZ20" s="461">
        <v>17212565.210000001</v>
      </c>
      <c r="BA20" s="462"/>
      <c r="BB20" s="460">
        <f t="shared" si="21"/>
        <v>2457631</v>
      </c>
      <c r="BC20" s="460">
        <f t="shared" si="30"/>
        <v>1230957.541411137</v>
      </c>
      <c r="BD20" s="460">
        <f t="shared" si="27"/>
        <v>3688588.5414111372</v>
      </c>
    </row>
    <row r="21" spans="1:56" ht="15.75" x14ac:dyDescent="0.2">
      <c r="A21" s="417" t="s">
        <v>7</v>
      </c>
      <c r="B21" s="440">
        <f>'State Population'!I12</f>
        <v>27124</v>
      </c>
      <c r="C21" s="441">
        <f t="shared" si="0"/>
        <v>6.8757066712606108E-4</v>
      </c>
      <c r="D21" s="442">
        <f>'Poverty-Uninsured Population'!E10</f>
        <v>8.2147871242451451E-4</v>
      </c>
      <c r="E21" s="441">
        <f>Prevalence!J10</f>
        <v>8.4531235873790795E-4</v>
      </c>
      <c r="F21" s="442">
        <f t="shared" si="31"/>
        <v>7.5929141903796659E-4</v>
      </c>
      <c r="G21" s="443">
        <f>'Self Suff. Calc'!F12</f>
        <v>0.83284090402199262</v>
      </c>
      <c r="H21" s="442">
        <f t="shared" si="32"/>
        <v>7.0852243216186863E-4</v>
      </c>
      <c r="I21" s="442">
        <f t="shared" si="22"/>
        <v>6.7623457237517065E-4</v>
      </c>
      <c r="J21" s="442">
        <f>'Resources-new'!M12</f>
        <v>1.3420511828897378E-3</v>
      </c>
      <c r="K21" s="442">
        <f>'[1]Allocation 2021-22'!K14</f>
        <v>5.7200000000000003E-4</v>
      </c>
      <c r="L21" s="444">
        <f t="shared" si="1"/>
        <v>5.6519028113767317E-4</v>
      </c>
      <c r="M21" s="445">
        <f t="shared" si="2"/>
        <v>728501.80221468222</v>
      </c>
      <c r="N21" s="464"/>
      <c r="O21" s="447">
        <f t="shared" si="3"/>
        <v>0</v>
      </c>
      <c r="P21" s="445">
        <f t="shared" si="4"/>
        <v>728501.80221468222</v>
      </c>
      <c r="Q21" s="445">
        <f t="shared" si="5"/>
        <v>2473633.3217932507</v>
      </c>
      <c r="R21" s="445">
        <f t="shared" si="6"/>
        <v>3202135.1240079328</v>
      </c>
      <c r="S21" s="449">
        <f t="shared" si="23"/>
        <v>1.1123800000000001E-3</v>
      </c>
      <c r="T21" s="450"/>
      <c r="U21" s="451">
        <v>1.5560570314904093E-3</v>
      </c>
      <c r="V21" s="451">
        <f t="shared" si="24"/>
        <v>-4.436770314904092E-4</v>
      </c>
      <c r="W21" s="423">
        <f t="shared" si="7"/>
        <v>450000</v>
      </c>
      <c r="X21" s="452">
        <f t="shared" si="8"/>
        <v>728501.80221468222</v>
      </c>
      <c r="Y21" s="422">
        <v>1.5560570314904093E-3</v>
      </c>
      <c r="Z21" s="401"/>
      <c r="AA21" s="449">
        <v>1.37086E-3</v>
      </c>
      <c r="AB21" s="420">
        <v>0.13708600000000001</v>
      </c>
      <c r="AC21" s="459">
        <f t="shared" si="28"/>
        <v>-2.5847999999999995E-4</v>
      </c>
      <c r="AD21" s="455">
        <v>577969.31000000006</v>
      </c>
      <c r="AE21" s="455">
        <f t="shared" si="29"/>
        <v>468991.3656289241</v>
      </c>
      <c r="AF21" s="455">
        <f t="shared" si="25"/>
        <v>-108977.94437107595</v>
      </c>
      <c r="AG21" s="455">
        <v>128335.3</v>
      </c>
      <c r="AH21" s="455">
        <f t="shared" si="9"/>
        <v>104137.27042789223</v>
      </c>
      <c r="AI21" s="455">
        <f t="shared" si="10"/>
        <v>-24198.029572107771</v>
      </c>
      <c r="AJ21" s="455">
        <v>176799.33</v>
      </c>
      <c r="AK21" s="455">
        <f t="shared" si="11"/>
        <v>143463.25907789543</v>
      </c>
      <c r="AL21" s="455">
        <f t="shared" si="12"/>
        <v>-33336.070922104554</v>
      </c>
      <c r="AM21" s="455">
        <v>139370.76999999999</v>
      </c>
      <c r="AN21" s="455">
        <f t="shared" si="13"/>
        <v>113091.97163158943</v>
      </c>
      <c r="AO21" s="455">
        <f t="shared" si="14"/>
        <v>-26278.798368410557</v>
      </c>
      <c r="AP21" s="455">
        <v>103293.63</v>
      </c>
      <c r="AQ21" s="456">
        <f t="shared" si="15"/>
        <v>83817.286776924841</v>
      </c>
      <c r="AR21" s="456">
        <f t="shared" si="26"/>
        <v>-19476.343223075164</v>
      </c>
      <c r="AS21" s="456">
        <f t="shared" si="16"/>
        <v>1125768.3400000001</v>
      </c>
      <c r="AT21" s="457">
        <f t="shared" si="17"/>
        <v>-212267.18645677401</v>
      </c>
      <c r="AU21" s="458">
        <f t="shared" si="18"/>
        <v>846885.18796735862</v>
      </c>
      <c r="AV21" s="455"/>
      <c r="AW21" s="455">
        <f t="shared" si="19"/>
        <v>-278883.15203264146</v>
      </c>
      <c r="AX21" s="459">
        <f t="shared" si="20"/>
        <v>-2.5847999999999995E-4</v>
      </c>
      <c r="AY21" s="460"/>
      <c r="AZ21" s="461">
        <v>1022474.71</v>
      </c>
      <c r="BA21" s="462"/>
      <c r="BB21" s="460">
        <f t="shared" si="21"/>
        <v>111238</v>
      </c>
      <c r="BC21" s="460">
        <f t="shared" si="30"/>
        <v>-212267.18645677401</v>
      </c>
      <c r="BD21" s="460">
        <f t="shared" si="27"/>
        <v>-101029.18645677401</v>
      </c>
    </row>
    <row r="22" spans="1:56" ht="15.75" x14ac:dyDescent="0.2">
      <c r="A22" s="417" t="s">
        <v>8</v>
      </c>
      <c r="B22" s="440">
        <f>'State Population'!I13</f>
        <v>185062</v>
      </c>
      <c r="C22" s="441">
        <f t="shared" si="0"/>
        <v>4.6911665978352423E-3</v>
      </c>
      <c r="D22" s="442">
        <f>'Poverty-Uninsured Population'!E11</f>
        <v>3.1281583017525234E-3</v>
      </c>
      <c r="E22" s="441">
        <f>Prevalence!J11</f>
        <v>2.5684838622186059E-3</v>
      </c>
      <c r="F22" s="442">
        <f t="shared" si="31"/>
        <v>3.7977275618870992E-3</v>
      </c>
      <c r="G22" s="443">
        <f>'Self Suff. Calc'!F13</f>
        <v>1.0672656520685662</v>
      </c>
      <c r="H22" s="442">
        <f t="shared" si="32"/>
        <v>3.8999102102187399E-3</v>
      </c>
      <c r="I22" s="442">
        <f t="shared" si="22"/>
        <v>3.7221885907859666E-3</v>
      </c>
      <c r="J22" s="442">
        <f>'Resources-new'!M13</f>
        <v>3.4605988904635255E-3</v>
      </c>
      <c r="K22" s="442">
        <f>'[1]Allocation 2021-22'!K15</f>
        <v>4.0260000000000001E-3</v>
      </c>
      <c r="L22" s="444">
        <f t="shared" si="1"/>
        <v>3.9780700556997766E-3</v>
      </c>
      <c r="M22" s="445">
        <f t="shared" si="2"/>
        <v>5127531.9155879561</v>
      </c>
      <c r="N22" s="447"/>
      <c r="O22" s="447">
        <f t="shared" si="3"/>
        <v>0</v>
      </c>
      <c r="P22" s="445">
        <f t="shared" si="4"/>
        <v>5127531.9155879561</v>
      </c>
      <c r="Q22" s="445">
        <f t="shared" si="5"/>
        <v>6465200.2357139476</v>
      </c>
      <c r="R22" s="445">
        <f t="shared" si="6"/>
        <v>11592732.151301904</v>
      </c>
      <c r="S22" s="449">
        <f t="shared" si="23"/>
        <v>4.0271700000000001E-3</v>
      </c>
      <c r="T22" s="450"/>
      <c r="U22" s="451">
        <v>4.0669812288439836E-3</v>
      </c>
      <c r="V22" s="451">
        <f t="shared" si="24"/>
        <v>-3.9811228843983533E-5</v>
      </c>
      <c r="W22" s="423">
        <f t="shared" si="7"/>
        <v>450000</v>
      </c>
      <c r="X22" s="452">
        <f t="shared" si="8"/>
        <v>5127531.9155879561</v>
      </c>
      <c r="Y22" s="422">
        <v>4.0669812288439836E-3</v>
      </c>
      <c r="Z22" s="401"/>
      <c r="AA22" s="449">
        <v>3.8438000000000001E-3</v>
      </c>
      <c r="AB22" s="465">
        <v>0.38438</v>
      </c>
      <c r="AC22" s="459">
        <f t="shared" si="28"/>
        <v>1.8336999999999997E-4</v>
      </c>
      <c r="AD22" s="455">
        <v>1620587.4</v>
      </c>
      <c r="AE22" s="455">
        <f t="shared" si="29"/>
        <v>1697898.16242636</v>
      </c>
      <c r="AF22" s="455">
        <f t="shared" si="25"/>
        <v>77310.762426360045</v>
      </c>
      <c r="AG22" s="455">
        <v>359843.61</v>
      </c>
      <c r="AH22" s="455">
        <f t="shared" si="9"/>
        <v>377010.0966837724</v>
      </c>
      <c r="AI22" s="455">
        <f t="shared" si="10"/>
        <v>17166.486683772411</v>
      </c>
      <c r="AJ22" s="455">
        <v>495733.54</v>
      </c>
      <c r="AK22" s="455">
        <f t="shared" si="11"/>
        <v>519382.70470588119</v>
      </c>
      <c r="AL22" s="455">
        <f t="shared" si="12"/>
        <v>23649.164705881209</v>
      </c>
      <c r="AM22" s="455">
        <v>390786.35</v>
      </c>
      <c r="AN22" s="455">
        <f t="shared" si="13"/>
        <v>409428.96797460219</v>
      </c>
      <c r="AO22" s="455">
        <f t="shared" si="14"/>
        <v>18642.61797460221</v>
      </c>
      <c r="AP22" s="455">
        <v>289628.44</v>
      </c>
      <c r="AQ22" s="456">
        <f t="shared" si="15"/>
        <v>303445.28199844336</v>
      </c>
      <c r="AR22" s="456">
        <f t="shared" si="26"/>
        <v>13816.841998443357</v>
      </c>
      <c r="AS22" s="456">
        <f t="shared" si="16"/>
        <v>3156579.34</v>
      </c>
      <c r="AT22" s="457">
        <f t="shared" si="17"/>
        <v>150585.87378905923</v>
      </c>
      <c r="AU22" s="458">
        <f t="shared" si="18"/>
        <v>3065994.19481338</v>
      </c>
      <c r="AV22" s="455"/>
      <c r="AW22" s="455">
        <f t="shared" si="19"/>
        <v>-90585.145186619833</v>
      </c>
      <c r="AX22" s="459">
        <f t="shared" si="20"/>
        <v>1.8336999999999997E-4</v>
      </c>
      <c r="AY22" s="460"/>
      <c r="AZ22" s="461">
        <v>2866950.9</v>
      </c>
      <c r="BA22" s="462"/>
      <c r="BB22" s="460">
        <f t="shared" si="21"/>
        <v>402717</v>
      </c>
      <c r="BC22" s="460">
        <f t="shared" si="30"/>
        <v>150585.87378905923</v>
      </c>
      <c r="BD22" s="460">
        <f t="shared" si="27"/>
        <v>553302.87378905923</v>
      </c>
    </row>
    <row r="23" spans="1:56" ht="15.75" x14ac:dyDescent="0.2">
      <c r="A23" s="417" t="s">
        <v>9</v>
      </c>
      <c r="B23" s="440">
        <f>'State Population'!I14</f>
        <v>995975</v>
      </c>
      <c r="C23" s="441">
        <f t="shared" si="0"/>
        <v>2.52471315141896E-2</v>
      </c>
      <c r="D23" s="442">
        <f>'Poverty-Uninsured Population'!E12</f>
        <v>3.5012677811840823E-2</v>
      </c>
      <c r="E23" s="441">
        <f>Prevalence!J12</f>
        <v>3.7433324292559446E-2</v>
      </c>
      <c r="F23" s="442">
        <f t="shared" si="31"/>
        <v>3.0614033959158939E-2</v>
      </c>
      <c r="G23" s="443">
        <f>'Self Suff. Calc'!F14</f>
        <v>0.83576507003989797</v>
      </c>
      <c r="H23" s="442">
        <f t="shared" si="32"/>
        <v>2.8602876469927478E-2</v>
      </c>
      <c r="I23" s="442">
        <f t="shared" si="22"/>
        <v>2.7299423504946019E-2</v>
      </c>
      <c r="J23" s="442">
        <f>'Resources-new'!M14</f>
        <v>2.7485977717543002E-2</v>
      </c>
      <c r="K23" s="442">
        <f>'[1]Allocation 2021-22'!K16</f>
        <v>2.7289000000000001E-2</v>
      </c>
      <c r="L23" s="444">
        <f t="shared" si="1"/>
        <v>2.696412164679364E-2</v>
      </c>
      <c r="M23" s="445">
        <f t="shared" si="2"/>
        <v>34755394.546567239</v>
      </c>
      <c r="N23" s="447"/>
      <c r="O23" s="447">
        <f t="shared" si="3"/>
        <v>0</v>
      </c>
      <c r="P23" s="445">
        <f t="shared" si="4"/>
        <v>34755394.546567239</v>
      </c>
      <c r="Q23" s="445">
        <f t="shared" si="5"/>
        <v>39119279.874629639</v>
      </c>
      <c r="R23" s="445">
        <f t="shared" si="6"/>
        <v>73874674.421196878</v>
      </c>
      <c r="S23" s="449">
        <f t="shared" si="23"/>
        <v>2.5663140000000001E-2</v>
      </c>
      <c r="T23" s="450"/>
      <c r="U23" s="451">
        <v>2.4608267514616883E-2</v>
      </c>
      <c r="V23" s="451">
        <f t="shared" si="24"/>
        <v>1.0548724853831175E-3</v>
      </c>
      <c r="W23" s="423">
        <f t="shared" si="7"/>
        <v>450000</v>
      </c>
      <c r="X23" s="452">
        <f t="shared" si="8"/>
        <v>34755394.546567239</v>
      </c>
      <c r="Y23" s="422">
        <v>2.4608267514616883E-2</v>
      </c>
      <c r="Z23" s="401"/>
      <c r="AA23" s="449">
        <v>2.522278E-2</v>
      </c>
      <c r="AB23" s="420">
        <v>2.522278</v>
      </c>
      <c r="AC23" s="459">
        <f t="shared" si="28"/>
        <v>4.4036000000000075E-4</v>
      </c>
      <c r="AD23" s="455">
        <v>10634195.18</v>
      </c>
      <c r="AE23" s="455">
        <f t="shared" si="29"/>
        <v>10819855.692233112</v>
      </c>
      <c r="AF23" s="455">
        <f t="shared" si="25"/>
        <v>185660.51223311201</v>
      </c>
      <c r="AG23" s="455">
        <v>2361271.7400000002</v>
      </c>
      <c r="AH23" s="455">
        <f t="shared" si="9"/>
        <v>2402496.7638836172</v>
      </c>
      <c r="AI23" s="455">
        <f t="shared" si="10"/>
        <v>41225.023883617017</v>
      </c>
      <c r="AJ23" s="455">
        <v>3252973.1</v>
      </c>
      <c r="AK23" s="455">
        <f t="shared" si="11"/>
        <v>3309766.1793382666</v>
      </c>
      <c r="AL23" s="455">
        <f t="shared" si="12"/>
        <v>56793.079338266514</v>
      </c>
      <c r="AM23" s="455">
        <v>2564316.08</v>
      </c>
      <c r="AN23" s="455">
        <f t="shared" si="13"/>
        <v>2609086.0145431492</v>
      </c>
      <c r="AO23" s="455">
        <f t="shared" si="14"/>
        <v>44769.93454314908</v>
      </c>
      <c r="AP23" s="455">
        <v>1900524.09</v>
      </c>
      <c r="AQ23" s="456">
        <f t="shared" si="15"/>
        <v>1933704.9973717355</v>
      </c>
      <c r="AR23" s="456">
        <f t="shared" si="26"/>
        <v>33180.907371735433</v>
      </c>
      <c r="AS23" s="456">
        <f t="shared" si="16"/>
        <v>20713280.190000001</v>
      </c>
      <c r="AT23" s="457">
        <f t="shared" si="17"/>
        <v>361629.45736988005</v>
      </c>
      <c r="AU23" s="458">
        <f t="shared" si="18"/>
        <v>19538047.378353298</v>
      </c>
      <c r="AV23" s="455"/>
      <c r="AW23" s="455">
        <f t="shared" si="19"/>
        <v>-1175232.8116467036</v>
      </c>
      <c r="AX23" s="459">
        <f t="shared" si="20"/>
        <v>4.4036000000000075E-4</v>
      </c>
      <c r="AY23" s="460"/>
      <c r="AZ23" s="461">
        <v>18812756.100000001</v>
      </c>
      <c r="BA23" s="462"/>
      <c r="BB23" s="460">
        <f t="shared" si="21"/>
        <v>2566314</v>
      </c>
      <c r="BC23" s="460">
        <f t="shared" si="30"/>
        <v>361629.45736988005</v>
      </c>
      <c r="BD23" s="460">
        <f t="shared" si="27"/>
        <v>2927943.4573698798</v>
      </c>
    </row>
    <row r="24" spans="1:56" ht="15.75" x14ac:dyDescent="0.2">
      <c r="A24" s="417" t="s">
        <v>10</v>
      </c>
      <c r="B24" s="440">
        <f>'State Population'!I15</f>
        <v>28731</v>
      </c>
      <c r="C24" s="441">
        <f t="shared" si="0"/>
        <v>7.2830677028457675E-4</v>
      </c>
      <c r="D24" s="442">
        <f>'Poverty-Uninsured Population'!E13</f>
        <v>9.3019935125110821E-4</v>
      </c>
      <c r="E24" s="441">
        <f>Prevalence!J13</f>
        <v>9.8273212186963206E-4</v>
      </c>
      <c r="F24" s="442">
        <f t="shared" si="31"/>
        <v>8.3975961489154733E-4</v>
      </c>
      <c r="G24" s="443">
        <f>'Self Suff. Calc'!F15</f>
        <v>0.82913488524524825</v>
      </c>
      <c r="H24" s="442">
        <f t="shared" si="32"/>
        <v>7.8236536570560722E-4</v>
      </c>
      <c r="I24" s="442">
        <f t="shared" si="22"/>
        <v>7.4671243210293445E-4</v>
      </c>
      <c r="J24" s="442">
        <f>'Resources-new'!M15</f>
        <v>1.2572252417849942E-3</v>
      </c>
      <c r="K24" s="442">
        <f>'[1]Allocation 2021-22'!K17</f>
        <v>6.6799999999999997E-4</v>
      </c>
      <c r="L24" s="444">
        <f t="shared" si="1"/>
        <v>6.6004739125868125E-4</v>
      </c>
      <c r="M24" s="445">
        <f t="shared" si="2"/>
        <v>850767.83895001351</v>
      </c>
      <c r="N24" s="447"/>
      <c r="O24" s="447">
        <f t="shared" si="3"/>
        <v>0</v>
      </c>
      <c r="P24" s="445">
        <f t="shared" si="4"/>
        <v>850767.83895001351</v>
      </c>
      <c r="Q24" s="445">
        <f t="shared" si="5"/>
        <v>2487004.3127218629</v>
      </c>
      <c r="R24" s="445">
        <f t="shared" si="6"/>
        <v>3337772.1516718762</v>
      </c>
      <c r="S24" s="449">
        <f t="shared" si="23"/>
        <v>1.1594999999999999E-3</v>
      </c>
      <c r="T24" s="450"/>
      <c r="U24" s="451">
        <v>1.5644681505795467E-3</v>
      </c>
      <c r="V24" s="451">
        <f t="shared" si="24"/>
        <v>-4.0496815057954679E-4</v>
      </c>
      <c r="W24" s="423">
        <f t="shared" si="7"/>
        <v>450000</v>
      </c>
      <c r="X24" s="452">
        <f t="shared" si="8"/>
        <v>850767.83895001351</v>
      </c>
      <c r="Y24" s="422">
        <v>1.5644681505795467E-3</v>
      </c>
      <c r="Z24" s="401"/>
      <c r="AA24" s="449">
        <v>1.3871199999999999E-3</v>
      </c>
      <c r="AB24" s="420">
        <v>0.138712</v>
      </c>
      <c r="AC24" s="459">
        <f t="shared" si="28"/>
        <v>-2.2761999999999999E-4</v>
      </c>
      <c r="AD24" s="455">
        <v>584824.69999999995</v>
      </c>
      <c r="AE24" s="455">
        <f t="shared" si="29"/>
        <v>488857.66414960485</v>
      </c>
      <c r="AF24" s="455">
        <f t="shared" si="25"/>
        <v>-95967.035850395099</v>
      </c>
      <c r="AG24" s="455">
        <v>129857.5</v>
      </c>
      <c r="AH24" s="455">
        <f t="shared" si="9"/>
        <v>108548.48618380503</v>
      </c>
      <c r="AI24" s="455">
        <f t="shared" si="10"/>
        <v>-21309.013816194973</v>
      </c>
      <c r="AJ24" s="455">
        <v>178896.38</v>
      </c>
      <c r="AK24" s="455">
        <f t="shared" si="11"/>
        <v>149540.308977885</v>
      </c>
      <c r="AL24" s="455">
        <f t="shared" si="12"/>
        <v>-29356.071022115008</v>
      </c>
      <c r="AM24" s="455">
        <v>141023.87</v>
      </c>
      <c r="AN24" s="455">
        <f t="shared" si="13"/>
        <v>117882.50517523503</v>
      </c>
      <c r="AO24" s="455">
        <f t="shared" si="14"/>
        <v>-23141.364824764969</v>
      </c>
      <c r="AP24" s="455">
        <v>104518.81</v>
      </c>
      <c r="AQ24" s="456">
        <f t="shared" si="15"/>
        <v>87367.755639120034</v>
      </c>
      <c r="AR24" s="456">
        <f t="shared" si="26"/>
        <v>-17151.054360879963</v>
      </c>
      <c r="AS24" s="456">
        <f t="shared" si="16"/>
        <v>1139121.26</v>
      </c>
      <c r="AT24" s="457">
        <f t="shared" si="17"/>
        <v>-186924.53987434998</v>
      </c>
      <c r="AU24" s="458">
        <f t="shared" si="18"/>
        <v>882758.92720846494</v>
      </c>
      <c r="AV24" s="455"/>
      <c r="AW24" s="455">
        <f t="shared" si="19"/>
        <v>-256362.33279153507</v>
      </c>
      <c r="AX24" s="459">
        <f t="shared" si="20"/>
        <v>-2.2761999999999999E-4</v>
      </c>
      <c r="AY24" s="460"/>
      <c r="AZ24" s="461">
        <v>1034602.45</v>
      </c>
      <c r="BA24" s="462"/>
      <c r="BB24" s="460">
        <f t="shared" si="21"/>
        <v>115950</v>
      </c>
      <c r="BC24" s="460">
        <f t="shared" si="30"/>
        <v>-186924.53987434998</v>
      </c>
      <c r="BD24" s="460">
        <f t="shared" si="27"/>
        <v>-70974.539874349983</v>
      </c>
    </row>
    <row r="25" spans="1:56" ht="15.75" x14ac:dyDescent="0.2">
      <c r="A25" s="417" t="s">
        <v>11</v>
      </c>
      <c r="B25" s="440">
        <f>'State Population'!I16</f>
        <v>136953</v>
      </c>
      <c r="C25" s="441">
        <f t="shared" si="0"/>
        <v>3.4716437684307417E-3</v>
      </c>
      <c r="D25" s="442">
        <f>'Poverty-Uninsured Population'!E14</f>
        <v>4.1797614532254621E-3</v>
      </c>
      <c r="E25" s="441">
        <f>Prevalence!J14</f>
        <v>4.5511255763493359E-3</v>
      </c>
      <c r="F25" s="442">
        <f t="shared" si="31"/>
        <v>3.8999754354528769E-3</v>
      </c>
      <c r="G25" s="443">
        <f>'Self Suff. Calc'!F16</f>
        <v>0.9269422836918757</v>
      </c>
      <c r="H25" s="442">
        <f t="shared" si="32"/>
        <v>3.7860061158640889E-3</v>
      </c>
      <c r="I25" s="442">
        <f t="shared" si="22"/>
        <v>3.6134751851953002E-3</v>
      </c>
      <c r="J25" s="442">
        <f>'Resources-new'!M16</f>
        <v>4.5761451893605526E-3</v>
      </c>
      <c r="K25" s="442">
        <f>'[1]Allocation 2021-22'!K18</f>
        <v>3.2429999999999998E-3</v>
      </c>
      <c r="L25" s="444">
        <f t="shared" si="1"/>
        <v>3.2043917512753041E-3</v>
      </c>
      <c r="M25" s="445">
        <f t="shared" si="2"/>
        <v>4130299.5534654097</v>
      </c>
      <c r="N25" s="447"/>
      <c r="O25" s="447">
        <f t="shared" si="3"/>
        <v>0</v>
      </c>
      <c r="P25" s="445">
        <f t="shared" si="4"/>
        <v>4130299.5534654097</v>
      </c>
      <c r="Q25" s="445">
        <f t="shared" si="5"/>
        <v>5737296.5344295008</v>
      </c>
      <c r="R25" s="445">
        <f t="shared" si="6"/>
        <v>9867596.0878949109</v>
      </c>
      <c r="S25" s="449">
        <f t="shared" si="23"/>
        <v>3.4278799999999999E-3</v>
      </c>
      <c r="T25" s="450"/>
      <c r="U25" s="451">
        <v>3.60908811160119E-3</v>
      </c>
      <c r="V25" s="451">
        <f t="shared" si="24"/>
        <v>-1.8120811160119007E-4</v>
      </c>
      <c r="W25" s="423">
        <f t="shared" si="7"/>
        <v>450000</v>
      </c>
      <c r="X25" s="452">
        <f t="shared" si="8"/>
        <v>4130299.5534654097</v>
      </c>
      <c r="Y25" s="422">
        <v>3.60908811160119E-3</v>
      </c>
      <c r="Z25" s="401"/>
      <c r="AA25" s="449">
        <v>3.5395100000000001E-3</v>
      </c>
      <c r="AB25" s="420">
        <v>0.35395100000000002</v>
      </c>
      <c r="AC25" s="459">
        <f t="shared" si="28"/>
        <v>-1.1163000000000015E-4</v>
      </c>
      <c r="AD25" s="455">
        <v>1492295.46</v>
      </c>
      <c r="AE25" s="455">
        <f t="shared" si="29"/>
        <v>1445231.0563045689</v>
      </c>
      <c r="AF25" s="455">
        <f t="shared" si="25"/>
        <v>-47064.403695431072</v>
      </c>
      <c r="AG25" s="455">
        <v>331357.01</v>
      </c>
      <c r="AH25" s="455">
        <f t="shared" si="9"/>
        <v>320906.58457933727</v>
      </c>
      <c r="AI25" s="455">
        <f t="shared" si="10"/>
        <v>-10450.425420662737</v>
      </c>
      <c r="AJ25" s="455">
        <v>456489.37</v>
      </c>
      <c r="AK25" s="455">
        <f t="shared" si="11"/>
        <v>442092.48325926042</v>
      </c>
      <c r="AL25" s="455">
        <f t="shared" si="12"/>
        <v>-14396.886740739574</v>
      </c>
      <c r="AM25" s="455">
        <v>359850.2</v>
      </c>
      <c r="AN25" s="455">
        <f t="shared" si="13"/>
        <v>348501.14863310446</v>
      </c>
      <c r="AO25" s="455">
        <f t="shared" si="14"/>
        <v>-11349.051366895554</v>
      </c>
      <c r="AP25" s="455">
        <v>266700.34000000003</v>
      </c>
      <c r="AQ25" s="456">
        <f t="shared" si="15"/>
        <v>258289.07477380492</v>
      </c>
      <c r="AR25" s="456">
        <f t="shared" si="26"/>
        <v>-8411.2652261951007</v>
      </c>
      <c r="AS25" s="456">
        <f t="shared" si="16"/>
        <v>2906692.38</v>
      </c>
      <c r="AT25" s="457">
        <f t="shared" si="17"/>
        <v>-91672.032449924038</v>
      </c>
      <c r="AU25" s="458">
        <f t="shared" si="18"/>
        <v>2609738.3970671436</v>
      </c>
      <c r="AV25" s="455"/>
      <c r="AW25" s="455">
        <f t="shared" si="19"/>
        <v>-296953.98293285631</v>
      </c>
      <c r="AX25" s="459">
        <f t="shared" si="20"/>
        <v>-1.1163000000000015E-4</v>
      </c>
      <c r="AY25" s="460"/>
      <c r="AZ25" s="461">
        <v>2639992.04</v>
      </c>
      <c r="BA25" s="462"/>
      <c r="BB25" s="460">
        <f t="shared" si="21"/>
        <v>342788</v>
      </c>
      <c r="BC25" s="460">
        <f t="shared" si="30"/>
        <v>-91672.032449924038</v>
      </c>
      <c r="BD25" s="460">
        <f t="shared" si="27"/>
        <v>251115.96755007596</v>
      </c>
    </row>
    <row r="26" spans="1:56" ht="15.75" x14ac:dyDescent="0.2">
      <c r="A26" s="417" t="s">
        <v>12</v>
      </c>
      <c r="B26" s="440">
        <f>'State Population'!I17</f>
        <v>188334</v>
      </c>
      <c r="C26" s="441">
        <f t="shared" si="0"/>
        <v>4.7741090555419403E-3</v>
      </c>
      <c r="D26" s="442">
        <f>'Poverty-Uninsured Population'!E15</f>
        <v>6.461131336923779E-3</v>
      </c>
      <c r="E26" s="441">
        <f>Prevalence!J15</f>
        <v>6.748033631678872E-3</v>
      </c>
      <c r="F26" s="442">
        <f t="shared" si="31"/>
        <v>5.675000655183878E-3</v>
      </c>
      <c r="G26" s="443">
        <f>'Self Suff. Calc'!F17</f>
        <v>0.77759214741485616</v>
      </c>
      <c r="H26" s="442">
        <f t="shared" si="32"/>
        <v>5.1701347715283862E-3</v>
      </c>
      <c r="I26" s="442">
        <f t="shared" si="22"/>
        <v>4.9345281357976167E-3</v>
      </c>
      <c r="J26" s="442">
        <f>'Resources-new'!M17</f>
        <v>5.5216945773016455E-3</v>
      </c>
      <c r="K26" s="442">
        <f>'[1]Allocation 2021-22'!K19</f>
        <v>4.6080000000000001E-3</v>
      </c>
      <c r="L26" s="444">
        <f t="shared" si="1"/>
        <v>4.5531412858083875E-3</v>
      </c>
      <c r="M26" s="445">
        <f t="shared" si="2"/>
        <v>5868769.763295901</v>
      </c>
      <c r="N26" s="447"/>
      <c r="O26" s="447">
        <f t="shared" si="3"/>
        <v>0</v>
      </c>
      <c r="P26" s="445">
        <f t="shared" si="4"/>
        <v>5868769.763295901</v>
      </c>
      <c r="Q26" s="445">
        <f t="shared" si="5"/>
        <v>7904049.3083246043</v>
      </c>
      <c r="R26" s="445">
        <f t="shared" si="6"/>
        <v>13772819.071620505</v>
      </c>
      <c r="S26" s="449">
        <f t="shared" si="23"/>
        <v>4.7844999999999997E-3</v>
      </c>
      <c r="T26" s="450"/>
      <c r="U26" s="451">
        <v>4.9720997025335936E-3</v>
      </c>
      <c r="V26" s="451">
        <f t="shared" si="24"/>
        <v>-1.875997025335939E-4</v>
      </c>
      <c r="W26" s="423">
        <f t="shared" si="7"/>
        <v>450000</v>
      </c>
      <c r="X26" s="452">
        <f t="shared" si="8"/>
        <v>5868769.763295901</v>
      </c>
      <c r="Y26" s="422">
        <v>4.9720997025335936E-3</v>
      </c>
      <c r="Z26" s="401"/>
      <c r="AA26" s="449">
        <v>4.9392999999999998E-3</v>
      </c>
      <c r="AB26" s="465">
        <v>0.49392999999999998</v>
      </c>
      <c r="AC26" s="459">
        <f t="shared" si="28"/>
        <v>-1.5480000000000008E-4</v>
      </c>
      <c r="AD26" s="455">
        <v>2082461.98</v>
      </c>
      <c r="AE26" s="455">
        <f t="shared" si="29"/>
        <v>2017196.6314133545</v>
      </c>
      <c r="AF26" s="455">
        <f t="shared" si="25"/>
        <v>-65265.348586645443</v>
      </c>
      <c r="AG26" s="455">
        <v>462400.64</v>
      </c>
      <c r="AH26" s="455">
        <f t="shared" si="9"/>
        <v>447908.78149755509</v>
      </c>
      <c r="AI26" s="455">
        <f t="shared" si="10"/>
        <v>-14491.858502444928</v>
      </c>
      <c r="AJ26" s="455">
        <v>637019.79</v>
      </c>
      <c r="AK26" s="455">
        <f t="shared" si="11"/>
        <v>617055.28961163503</v>
      </c>
      <c r="AL26" s="455">
        <f t="shared" si="12"/>
        <v>-19964.500388365006</v>
      </c>
      <c r="AM26" s="455">
        <v>502162.19</v>
      </c>
      <c r="AN26" s="455">
        <f t="shared" si="13"/>
        <v>486424.18802148511</v>
      </c>
      <c r="AO26" s="455">
        <f t="shared" si="14"/>
        <v>-15738.001978514891</v>
      </c>
      <c r="AP26" s="455">
        <v>372173.83</v>
      </c>
      <c r="AQ26" s="456">
        <f t="shared" si="15"/>
        <v>360509.72561912017</v>
      </c>
      <c r="AR26" s="456">
        <f t="shared" si="26"/>
        <v>-11664.104380879842</v>
      </c>
      <c r="AS26" s="456">
        <f t="shared" si="16"/>
        <v>4056218.43</v>
      </c>
      <c r="AT26" s="457">
        <f t="shared" si="17"/>
        <v>-127123.81383685011</v>
      </c>
      <c r="AU26" s="458">
        <f t="shared" si="18"/>
        <v>3642570.1485372148</v>
      </c>
      <c r="AV26" s="455"/>
      <c r="AW26" s="455">
        <f t="shared" si="19"/>
        <v>-413648.28146278532</v>
      </c>
      <c r="AX26" s="459">
        <f t="shared" si="20"/>
        <v>-1.5480000000000008E-4</v>
      </c>
      <c r="AY26" s="460"/>
      <c r="AZ26" s="461">
        <v>3684044.6</v>
      </c>
      <c r="BA26" s="462"/>
      <c r="BB26" s="460">
        <f t="shared" si="21"/>
        <v>478449.99999999994</v>
      </c>
      <c r="BC26" s="460">
        <f t="shared" si="30"/>
        <v>-127123.81383685011</v>
      </c>
      <c r="BD26" s="460">
        <f t="shared" si="27"/>
        <v>351326.18616314983</v>
      </c>
    </row>
    <row r="27" spans="1:56" ht="15.75" x14ac:dyDescent="0.2">
      <c r="A27" s="417" t="s">
        <v>13</v>
      </c>
      <c r="B27" s="440">
        <f>'State Population'!I18</f>
        <v>18619</v>
      </c>
      <c r="C27" s="441">
        <f t="shared" si="0"/>
        <v>4.7197604524480647E-4</v>
      </c>
      <c r="D27" s="442">
        <f>'Poverty-Uninsured Population'!E16</f>
        <v>4.3214687356120607E-4</v>
      </c>
      <c r="E27" s="441">
        <f>Prevalence!J16</f>
        <v>4.7554470662688727E-4</v>
      </c>
      <c r="F27" s="442">
        <f t="shared" si="31"/>
        <v>4.607410260161425E-4</v>
      </c>
      <c r="G27" s="443">
        <f>'Self Suff. Calc'!F18</f>
        <v>0.9653036308917049</v>
      </c>
      <c r="H27" s="442">
        <f t="shared" si="32"/>
        <v>4.5434660973534626E-4</v>
      </c>
      <c r="I27" s="442">
        <f t="shared" si="22"/>
        <v>4.3364171887545462E-4</v>
      </c>
      <c r="J27" s="442">
        <f>'Resources-new'!M18</f>
        <v>9.8525427133514172E-4</v>
      </c>
      <c r="K27" s="442">
        <f>'[1]Allocation 2021-22'!K20</f>
        <v>3.1599999999999998E-4</v>
      </c>
      <c r="L27" s="444">
        <f t="shared" si="1"/>
        <v>3.1223798748165156E-4</v>
      </c>
      <c r="M27" s="445">
        <f t="shared" si="2"/>
        <v>402459.03758713207</v>
      </c>
      <c r="N27" s="447"/>
      <c r="O27" s="447">
        <f t="shared" si="3"/>
        <v>0</v>
      </c>
      <c r="P27" s="445">
        <f t="shared" si="4"/>
        <v>402459.03758713207</v>
      </c>
      <c r="Q27" s="445">
        <f t="shared" si="5"/>
        <v>1677407.1180808947</v>
      </c>
      <c r="R27" s="445">
        <f t="shared" si="6"/>
        <v>2079866.1556680268</v>
      </c>
      <c r="S27" s="449">
        <f t="shared" si="23"/>
        <v>7.2252000000000004E-4</v>
      </c>
      <c r="T27" s="450"/>
      <c r="U27" s="451">
        <v>1.0551851471945841E-3</v>
      </c>
      <c r="V27" s="451">
        <f t="shared" si="24"/>
        <v>-3.326651471945841E-4</v>
      </c>
      <c r="W27" s="423">
        <f t="shared" si="7"/>
        <v>350000</v>
      </c>
      <c r="X27" s="452">
        <f t="shared" si="8"/>
        <v>402459.03758713207</v>
      </c>
      <c r="Y27" s="422">
        <v>1.0551851471945841E-3</v>
      </c>
      <c r="Z27" s="401"/>
      <c r="AA27" s="449">
        <v>9.2628999999999997E-4</v>
      </c>
      <c r="AB27" s="420">
        <v>9.2629000000000003E-2</v>
      </c>
      <c r="AC27" s="459">
        <f t="shared" si="28"/>
        <v>-2.0376999999999993E-4</v>
      </c>
      <c r="AD27" s="455">
        <v>390533.82</v>
      </c>
      <c r="AE27" s="455">
        <f t="shared" si="29"/>
        <v>304622.19879376673</v>
      </c>
      <c r="AF27" s="455">
        <f t="shared" si="25"/>
        <v>-85911.621206233278</v>
      </c>
      <c r="AG27" s="455">
        <v>86716.15</v>
      </c>
      <c r="AH27" s="455">
        <f t="shared" si="9"/>
        <v>67639.889812438822</v>
      </c>
      <c r="AI27" s="455">
        <f t="shared" si="10"/>
        <v>-19076.260187561173</v>
      </c>
      <c r="AJ27" s="455">
        <v>119463.3</v>
      </c>
      <c r="AK27" s="455">
        <f t="shared" si="11"/>
        <v>93183.151395171619</v>
      </c>
      <c r="AL27" s="455">
        <f t="shared" si="12"/>
        <v>-26280.148604828384</v>
      </c>
      <c r="AM27" s="455">
        <v>94172.82</v>
      </c>
      <c r="AN27" s="455">
        <f t="shared" si="13"/>
        <v>73456.203224847617</v>
      </c>
      <c r="AO27" s="455">
        <f t="shared" si="14"/>
        <v>-20716.61677515239</v>
      </c>
      <c r="AP27" s="455">
        <v>69795.5</v>
      </c>
      <c r="AQ27" s="456">
        <f t="shared" si="15"/>
        <v>54441.527213779227</v>
      </c>
      <c r="AR27" s="456">
        <f t="shared" si="26"/>
        <v>-15353.972786220773</v>
      </c>
      <c r="AS27" s="456">
        <f t="shared" si="16"/>
        <v>760681.59000000008</v>
      </c>
      <c r="AT27" s="457">
        <f t="shared" si="17"/>
        <v>-167338.619559996</v>
      </c>
      <c r="AU27" s="458">
        <f t="shared" si="18"/>
        <v>550074.15272674442</v>
      </c>
      <c r="AV27" s="455"/>
      <c r="AW27" s="455">
        <f t="shared" si="19"/>
        <v>-210607.43727325567</v>
      </c>
      <c r="AX27" s="459">
        <f t="shared" si="20"/>
        <v>-2.0376999999999993E-4</v>
      </c>
      <c r="AY27" s="460"/>
      <c r="AZ27" s="461">
        <v>690886.09</v>
      </c>
      <c r="BA27" s="462"/>
      <c r="BB27" s="460">
        <f t="shared" si="21"/>
        <v>72252</v>
      </c>
      <c r="BC27" s="460">
        <f t="shared" si="30"/>
        <v>-167338.619559996</v>
      </c>
      <c r="BD27" s="460">
        <f t="shared" si="27"/>
        <v>-95086.619559996005</v>
      </c>
    </row>
    <row r="28" spans="1:56" ht="15.75" x14ac:dyDescent="0.2">
      <c r="A28" s="417" t="s">
        <v>14</v>
      </c>
      <c r="B28" s="440">
        <f>'State Population'!I19</f>
        <v>895112</v>
      </c>
      <c r="C28" s="441">
        <f t="shared" si="0"/>
        <v>2.2690338998397831E-2</v>
      </c>
      <c r="D28" s="442">
        <f>'Poverty-Uninsured Population'!E17</f>
        <v>2.93335019682711E-2</v>
      </c>
      <c r="E28" s="441">
        <f>Prevalence!J17</f>
        <v>3.209113100081367E-2</v>
      </c>
      <c r="F28" s="442">
        <f t="shared" si="31"/>
        <v>2.656344628984298E-2</v>
      </c>
      <c r="G28" s="443">
        <f>'Self Suff. Calc'!F19</f>
        <v>0.79042967485756388</v>
      </c>
      <c r="H28" s="442">
        <f t="shared" si="32"/>
        <v>2.4336682259496568E-2</v>
      </c>
      <c r="I28" s="442">
        <f t="shared" si="22"/>
        <v>2.3227642730472134E-2</v>
      </c>
      <c r="J28" s="442">
        <f>'Resources-new'!M19</f>
        <v>2.0684871913761955E-2</v>
      </c>
      <c r="K28" s="442">
        <f>'[1]Allocation 2021-22'!K21</f>
        <v>2.3990000000000001E-2</v>
      </c>
      <c r="L28" s="444">
        <f t="shared" si="1"/>
        <v>2.3704396581281081E-2</v>
      </c>
      <c r="M28" s="445">
        <f t="shared" si="2"/>
        <v>30553773.138339557</v>
      </c>
      <c r="N28" s="447"/>
      <c r="O28" s="447">
        <f t="shared" si="3"/>
        <v>0</v>
      </c>
      <c r="P28" s="445">
        <f t="shared" si="4"/>
        <v>30553773.138339557</v>
      </c>
      <c r="Q28" s="445">
        <f t="shared" si="5"/>
        <v>33761589.033880733</v>
      </c>
      <c r="R28" s="445">
        <f t="shared" si="6"/>
        <v>64315362.17222029</v>
      </c>
      <c r="S28" s="449">
        <f t="shared" si="23"/>
        <v>2.234235E-2</v>
      </c>
      <c r="T28" s="450"/>
      <c r="U28" s="451">
        <v>2.1237973125448763E-2</v>
      </c>
      <c r="V28" s="451">
        <f t="shared" si="24"/>
        <v>1.1043768745512376E-3</v>
      </c>
      <c r="W28" s="423">
        <f t="shared" si="7"/>
        <v>450000</v>
      </c>
      <c r="X28" s="452">
        <f t="shared" si="8"/>
        <v>30553773.138339557</v>
      </c>
      <c r="Y28" s="422">
        <v>2.1237973125448763E-2</v>
      </c>
      <c r="Z28" s="401"/>
      <c r="AA28" s="449">
        <v>2.1732850000000001E-2</v>
      </c>
      <c r="AB28" s="420">
        <v>2.1732849999999999</v>
      </c>
      <c r="AC28" s="459">
        <f t="shared" si="28"/>
        <v>6.0949999999999893E-4</v>
      </c>
      <c r="AD28" s="455">
        <v>9162803.1799999997</v>
      </c>
      <c r="AE28" s="455">
        <f t="shared" si="29"/>
        <v>9419774.9311021343</v>
      </c>
      <c r="AF28" s="455">
        <f t="shared" si="25"/>
        <v>256971.75110213459</v>
      </c>
      <c r="AG28" s="455">
        <v>2034556.25</v>
      </c>
      <c r="AH28" s="455">
        <f t="shared" si="9"/>
        <v>2091615.5845525973</v>
      </c>
      <c r="AI28" s="455">
        <f t="shared" si="10"/>
        <v>57059.334552597255</v>
      </c>
      <c r="AJ28" s="455">
        <v>2802878.05</v>
      </c>
      <c r="AK28" s="455">
        <f t="shared" si="11"/>
        <v>2881485.0558793009</v>
      </c>
      <c r="AL28" s="455">
        <f t="shared" si="12"/>
        <v>78607.005879301112</v>
      </c>
      <c r="AM28" s="455">
        <v>2209506.5099999998</v>
      </c>
      <c r="AN28" s="455">
        <f t="shared" si="13"/>
        <v>2271472.3497213563</v>
      </c>
      <c r="AO28" s="455">
        <f t="shared" si="14"/>
        <v>61965.839721356519</v>
      </c>
      <c r="AP28" s="455">
        <v>1637559.58</v>
      </c>
      <c r="AQ28" s="456">
        <f t="shared" si="15"/>
        <v>1683485.1015124568</v>
      </c>
      <c r="AR28" s="456">
        <f t="shared" si="26"/>
        <v>45925.521512456704</v>
      </c>
      <c r="AS28" s="456">
        <f t="shared" si="16"/>
        <v>17847303.57</v>
      </c>
      <c r="AT28" s="457">
        <f t="shared" si="17"/>
        <v>500529.45276784617</v>
      </c>
      <c r="AU28" s="458">
        <f t="shared" si="18"/>
        <v>17009839.514718454</v>
      </c>
      <c r="AV28" s="455"/>
      <c r="AW28" s="455">
        <f t="shared" si="19"/>
        <v>-837464.05528154597</v>
      </c>
      <c r="AX28" s="459">
        <f t="shared" si="20"/>
        <v>6.0949999999999893E-4</v>
      </c>
      <c r="AY28" s="460"/>
      <c r="AZ28" s="461">
        <v>16209743.99</v>
      </c>
      <c r="BA28" s="462"/>
      <c r="BB28" s="460">
        <f t="shared" si="21"/>
        <v>2234235</v>
      </c>
      <c r="BC28" s="460">
        <f t="shared" si="30"/>
        <v>500529.45276784617</v>
      </c>
      <c r="BD28" s="460">
        <f t="shared" si="27"/>
        <v>2734764.4527678462</v>
      </c>
    </row>
    <row r="29" spans="1:56" ht="15.75" x14ac:dyDescent="0.2">
      <c r="A29" s="417" t="s">
        <v>15</v>
      </c>
      <c r="B29" s="440">
        <f>'State Population'!I20</f>
        <v>149537</v>
      </c>
      <c r="C29" s="441">
        <f t="shared" si="0"/>
        <v>3.79063762166457E-3</v>
      </c>
      <c r="D29" s="442">
        <f>'Poverty-Uninsured Population'!E18</f>
        <v>4.7909526475653072E-3</v>
      </c>
      <c r="E29" s="441">
        <f>Prevalence!J18</f>
        <v>4.7292288219871617E-3</v>
      </c>
      <c r="F29" s="442">
        <f t="shared" si="31"/>
        <v>4.2784503694993092E-3</v>
      </c>
      <c r="G29" s="443">
        <f>'Self Suff. Calc'!F20</f>
        <v>0.7974070108039315</v>
      </c>
      <c r="H29" s="442">
        <f t="shared" si="32"/>
        <v>3.931736749705754E-3</v>
      </c>
      <c r="I29" s="442">
        <f t="shared" si="22"/>
        <v>3.7525647727432733E-3</v>
      </c>
      <c r="J29" s="442">
        <f>'Resources-new'!M20</f>
        <v>3.2460823770250019E-3</v>
      </c>
      <c r="K29" s="442">
        <f>'[1]Allocation 2021-22'!K22</f>
        <v>3.8170000000000001E-3</v>
      </c>
      <c r="L29" s="444">
        <f t="shared" si="1"/>
        <v>3.7715582222071649E-3</v>
      </c>
      <c r="M29" s="445">
        <f t="shared" si="2"/>
        <v>4861348.5647787442</v>
      </c>
      <c r="N29" s="447"/>
      <c r="O29" s="447">
        <f t="shared" si="3"/>
        <v>0</v>
      </c>
      <c r="P29" s="445">
        <f t="shared" si="4"/>
        <v>4861348.5647787442</v>
      </c>
      <c r="Q29" s="445">
        <f t="shared" si="5"/>
        <v>6641795.1524906186</v>
      </c>
      <c r="R29" s="445">
        <f t="shared" si="6"/>
        <v>11503143.717269363</v>
      </c>
      <c r="S29" s="449">
        <f t="shared" si="23"/>
        <v>3.9960500000000001E-3</v>
      </c>
      <c r="T29" s="450"/>
      <c r="U29" s="451">
        <v>4.1780695455944199E-3</v>
      </c>
      <c r="V29" s="451">
        <f t="shared" si="24"/>
        <v>-1.8201954559441975E-4</v>
      </c>
      <c r="W29" s="423">
        <f t="shared" si="7"/>
        <v>450000</v>
      </c>
      <c r="X29" s="452">
        <f t="shared" si="8"/>
        <v>4861348.5647787442</v>
      </c>
      <c r="Y29" s="422">
        <v>4.1780695455944199E-3</v>
      </c>
      <c r="Z29" s="401"/>
      <c r="AA29" s="449">
        <v>4.1070200000000003E-3</v>
      </c>
      <c r="AB29" s="420">
        <v>0.41070200000000001</v>
      </c>
      <c r="AC29" s="459">
        <f t="shared" si="28"/>
        <v>-1.1097000000000017E-4</v>
      </c>
      <c r="AD29" s="455">
        <v>1731563.78</v>
      </c>
      <c r="AE29" s="455">
        <f t="shared" si="29"/>
        <v>1684777.6358991193</v>
      </c>
      <c r="AF29" s="455">
        <f t="shared" si="25"/>
        <v>-46786.144100880716</v>
      </c>
      <c r="AG29" s="455">
        <v>384485.38</v>
      </c>
      <c r="AH29" s="455">
        <f t="shared" si="9"/>
        <v>374096.74705889961</v>
      </c>
      <c r="AI29" s="455">
        <f t="shared" si="10"/>
        <v>-10388.632941100397</v>
      </c>
      <c r="AJ29" s="455">
        <v>529680.93000000005</v>
      </c>
      <c r="AK29" s="455">
        <f t="shared" si="11"/>
        <v>515369.16920317156</v>
      </c>
      <c r="AL29" s="455">
        <f t="shared" si="12"/>
        <v>-14311.760796828486</v>
      </c>
      <c r="AM29" s="455">
        <v>417547.05</v>
      </c>
      <c r="AN29" s="455">
        <f t="shared" si="13"/>
        <v>406265.10116903658</v>
      </c>
      <c r="AO29" s="455">
        <f t="shared" si="14"/>
        <v>-11281.948830963403</v>
      </c>
      <c r="AP29" s="455">
        <v>309461.94</v>
      </c>
      <c r="AQ29" s="456">
        <f t="shared" si="15"/>
        <v>301100.40527960815</v>
      </c>
      <c r="AR29" s="456">
        <f t="shared" si="26"/>
        <v>-8361.53472039185</v>
      </c>
      <c r="AS29" s="456">
        <f t="shared" si="16"/>
        <v>3372739.08</v>
      </c>
      <c r="AT29" s="457">
        <f t="shared" si="17"/>
        <v>-91130.021390164853</v>
      </c>
      <c r="AU29" s="458">
        <f t="shared" si="18"/>
        <v>3042301.6913077938</v>
      </c>
      <c r="AV29" s="455"/>
      <c r="AW29" s="455">
        <f t="shared" si="19"/>
        <v>-330437.38869220624</v>
      </c>
      <c r="AX29" s="459">
        <f t="shared" si="20"/>
        <v>-1.1097000000000017E-4</v>
      </c>
      <c r="AY29" s="460"/>
      <c r="AZ29" s="461">
        <v>3063277.14</v>
      </c>
      <c r="BA29" s="462"/>
      <c r="BB29" s="460">
        <f t="shared" si="21"/>
        <v>399605</v>
      </c>
      <c r="BC29" s="460">
        <f t="shared" si="30"/>
        <v>-91130.021390164853</v>
      </c>
      <c r="BD29" s="460">
        <f t="shared" si="27"/>
        <v>308474.97860983515</v>
      </c>
    </row>
    <row r="30" spans="1:56" ht="15.75" x14ac:dyDescent="0.2">
      <c r="A30" s="417" t="s">
        <v>16</v>
      </c>
      <c r="B30" s="440">
        <f>'State Population'!I21</f>
        <v>64945</v>
      </c>
      <c r="C30" s="441">
        <f t="shared" si="0"/>
        <v>1.6463013189980105E-3</v>
      </c>
      <c r="D30" s="442">
        <f>'Poverty-Uninsured Population'!E19</f>
        <v>2.3419807297831116E-3</v>
      </c>
      <c r="E30" s="441">
        <f>Prevalence!J19</f>
        <v>2.1453756441551395E-3</v>
      </c>
      <c r="F30" s="442">
        <f t="shared" si="31"/>
        <v>1.9548200072649667E-3</v>
      </c>
      <c r="G30" s="443">
        <f>'Self Suff. Calc'!F21</f>
        <v>0.87934961243151322</v>
      </c>
      <c r="H30" s="442">
        <f t="shared" si="32"/>
        <v>1.8604800906637067E-3</v>
      </c>
      <c r="I30" s="442">
        <f t="shared" si="22"/>
        <v>1.7756967195571597E-3</v>
      </c>
      <c r="J30" s="442">
        <f>'Resources-new'!M21</f>
        <v>2.2306795748087038E-3</v>
      </c>
      <c r="K30" s="442">
        <f>'[1]Allocation 2021-22'!K23</f>
        <v>1.519E-3</v>
      </c>
      <c r="L30" s="444">
        <f t="shared" si="1"/>
        <v>1.5009161486855341E-3</v>
      </c>
      <c r="M30" s="445">
        <f t="shared" si="2"/>
        <v>1934605.3104267521</v>
      </c>
      <c r="N30" s="447"/>
      <c r="O30" s="447">
        <f t="shared" si="3"/>
        <v>0</v>
      </c>
      <c r="P30" s="445">
        <f t="shared" si="4"/>
        <v>1934605.3104267521</v>
      </c>
      <c r="Q30" s="445">
        <f t="shared" si="5"/>
        <v>3290568.2553584576</v>
      </c>
      <c r="R30" s="445">
        <f t="shared" si="6"/>
        <v>5225173.5657852096</v>
      </c>
      <c r="S30" s="449">
        <f t="shared" si="23"/>
        <v>1.8151599999999999E-3</v>
      </c>
      <c r="T30" s="450"/>
      <c r="U30" s="451">
        <v>2.0699558929120937E-3</v>
      </c>
      <c r="V30" s="451">
        <f t="shared" si="24"/>
        <v>-2.5479589291209381E-4</v>
      </c>
      <c r="W30" s="423">
        <f t="shared" si="7"/>
        <v>450000</v>
      </c>
      <c r="X30" s="452">
        <f t="shared" si="8"/>
        <v>1934605.3104267521</v>
      </c>
      <c r="Y30" s="422">
        <v>2.0699558929120937E-3</v>
      </c>
      <c r="Z30" s="401"/>
      <c r="AA30" s="449">
        <v>1.9949400000000002E-3</v>
      </c>
      <c r="AB30" s="420">
        <v>0.199494</v>
      </c>
      <c r="AC30" s="459">
        <f t="shared" si="28"/>
        <v>-1.7978000000000026E-4</v>
      </c>
      <c r="AD30" s="455">
        <v>841088.15</v>
      </c>
      <c r="AE30" s="455">
        <f t="shared" si="29"/>
        <v>765290.96822578425</v>
      </c>
      <c r="AF30" s="455">
        <f t="shared" si="25"/>
        <v>-75797.181774215773</v>
      </c>
      <c r="AG30" s="455">
        <v>186759.57</v>
      </c>
      <c r="AH30" s="455">
        <f t="shared" si="9"/>
        <v>169929.16790116043</v>
      </c>
      <c r="AI30" s="455">
        <f t="shared" si="10"/>
        <v>-16830.402098839579</v>
      </c>
      <c r="AJ30" s="455">
        <v>257286.71</v>
      </c>
      <c r="AK30" s="455">
        <f t="shared" si="11"/>
        <v>234100.54958542282</v>
      </c>
      <c r="AL30" s="455">
        <f t="shared" si="12"/>
        <v>-23186.160414577171</v>
      </c>
      <c r="AM30" s="455">
        <v>202818.91</v>
      </c>
      <c r="AN30" s="455">
        <f t="shared" si="13"/>
        <v>184541.27476833083</v>
      </c>
      <c r="AO30" s="455">
        <f t="shared" si="14"/>
        <v>-18277.635231669177</v>
      </c>
      <c r="AP30" s="455">
        <v>150317.75</v>
      </c>
      <c r="AQ30" s="456">
        <f t="shared" si="15"/>
        <v>136771.41468383366</v>
      </c>
      <c r="AR30" s="456">
        <f t="shared" si="26"/>
        <v>-13546.33531616634</v>
      </c>
      <c r="AS30" s="456">
        <f t="shared" si="16"/>
        <v>1638271.0899999999</v>
      </c>
      <c r="AT30" s="457">
        <f t="shared" si="17"/>
        <v>-147637.71483546804</v>
      </c>
      <c r="AU30" s="458">
        <f t="shared" si="18"/>
        <v>1381930.7411054051</v>
      </c>
      <c r="AV30" s="455"/>
      <c r="AW30" s="455">
        <f t="shared" si="19"/>
        <v>-256340.3488945947</v>
      </c>
      <c r="AX30" s="459">
        <f t="shared" si="20"/>
        <v>-1.7978000000000026E-4</v>
      </c>
      <c r="AY30" s="460"/>
      <c r="AZ30" s="461">
        <v>1487953.34</v>
      </c>
      <c r="BA30" s="462"/>
      <c r="BB30" s="460">
        <f t="shared" si="21"/>
        <v>181516</v>
      </c>
      <c r="BC30" s="460">
        <f t="shared" si="30"/>
        <v>-147637.71483546804</v>
      </c>
      <c r="BD30" s="460">
        <f t="shared" si="27"/>
        <v>33878.285164531961</v>
      </c>
    </row>
    <row r="31" spans="1:56" ht="15.75" x14ac:dyDescent="0.2">
      <c r="A31" s="417" t="s">
        <v>17</v>
      </c>
      <c r="B31" s="440">
        <f>'State Population'!I22</f>
        <v>30918</v>
      </c>
      <c r="C31" s="441">
        <f t="shared" si="0"/>
        <v>7.8374538733975659E-4</v>
      </c>
      <c r="D31" s="442">
        <f>'Poverty-Uninsured Population'!E20</f>
        <v>5.538220060787905E-4</v>
      </c>
      <c r="E31" s="441">
        <f>Prevalence!J20</f>
        <v>6.699213452671549E-4</v>
      </c>
      <c r="F31" s="442">
        <f t="shared" si="31"/>
        <v>6.9200356454694636E-4</v>
      </c>
      <c r="G31" s="443">
        <f>'Self Suff. Calc'!F22</f>
        <v>0.87317183210723803</v>
      </c>
      <c r="H31" s="442">
        <f t="shared" si="32"/>
        <v>6.5689734684024645E-4</v>
      </c>
      <c r="I31" s="442">
        <f t="shared" si="22"/>
        <v>6.2696207808056058E-4</v>
      </c>
      <c r="J31" s="442">
        <f>'Resources-new'!M22</f>
        <v>1.3491686593104914E-3</v>
      </c>
      <c r="K31" s="442">
        <f>'[1]Allocation 2021-22'!K24</f>
        <v>4.2499999999999998E-4</v>
      </c>
      <c r="L31" s="444">
        <f t="shared" si="1"/>
        <v>4.1994033126487951E-4</v>
      </c>
      <c r="M31" s="445">
        <f t="shared" si="2"/>
        <v>541281.93346370617</v>
      </c>
      <c r="N31" s="447"/>
      <c r="O31" s="447">
        <f t="shared" si="3"/>
        <v>0</v>
      </c>
      <c r="P31" s="445">
        <f t="shared" si="4"/>
        <v>541281.93346370617</v>
      </c>
      <c r="Q31" s="445">
        <f t="shared" si="5"/>
        <v>2477546.7825528444</v>
      </c>
      <c r="R31" s="445">
        <f t="shared" si="6"/>
        <v>3018828.7160165505</v>
      </c>
      <c r="S31" s="449">
        <f t="shared" si="23"/>
        <v>1.0487000000000001E-3</v>
      </c>
      <c r="T31" s="450"/>
      <c r="U31" s="451">
        <v>1.5585188224433275E-3</v>
      </c>
      <c r="V31" s="451">
        <f t="shared" si="24"/>
        <v>-5.0981882244332741E-4</v>
      </c>
      <c r="W31" s="423">
        <f t="shared" si="7"/>
        <v>450000</v>
      </c>
      <c r="X31" s="452">
        <f t="shared" si="8"/>
        <v>541281.93346370617</v>
      </c>
      <c r="Y31" s="422">
        <v>1.5585188224433275E-3</v>
      </c>
      <c r="Z31" s="401"/>
      <c r="AA31" s="449">
        <v>1.3663799999999999E-3</v>
      </c>
      <c r="AB31" s="420">
        <v>0.13663800000000001</v>
      </c>
      <c r="AC31" s="459">
        <f t="shared" si="28"/>
        <v>-3.1767999999999987E-4</v>
      </c>
      <c r="AD31" s="455">
        <v>576080.5</v>
      </c>
      <c r="AE31" s="455">
        <f t="shared" si="29"/>
        <v>442143.19309503294</v>
      </c>
      <c r="AF31" s="455">
        <f t="shared" si="25"/>
        <v>-133937.30690496706</v>
      </c>
      <c r="AG31" s="455">
        <v>127915.9</v>
      </c>
      <c r="AH31" s="455">
        <f t="shared" si="9"/>
        <v>98175.763226353039</v>
      </c>
      <c r="AI31" s="455">
        <f t="shared" si="10"/>
        <v>-29740.136773646955</v>
      </c>
      <c r="AJ31" s="455">
        <v>176221.55</v>
      </c>
      <c r="AK31" s="455">
        <f t="shared" si="11"/>
        <v>135250.47177672101</v>
      </c>
      <c r="AL31" s="455">
        <f t="shared" si="12"/>
        <v>-40971.078223278979</v>
      </c>
      <c r="AM31" s="455">
        <v>138915.31</v>
      </c>
      <c r="AN31" s="455">
        <f t="shared" si="13"/>
        <v>106617.83801403103</v>
      </c>
      <c r="AO31" s="455">
        <f t="shared" si="14"/>
        <v>-32297.471985968965</v>
      </c>
      <c r="AP31" s="455">
        <v>102956.06</v>
      </c>
      <c r="AQ31" s="456">
        <f t="shared" si="15"/>
        <v>79019.03004635204</v>
      </c>
      <c r="AR31" s="456">
        <f t="shared" si="26"/>
        <v>-23937.029953647958</v>
      </c>
      <c r="AS31" s="456">
        <f t="shared" si="16"/>
        <v>1122089.32</v>
      </c>
      <c r="AT31" s="457">
        <f t="shared" si="17"/>
        <v>-260883.02384150992</v>
      </c>
      <c r="AU31" s="458">
        <f t="shared" si="18"/>
        <v>798403.86973998905</v>
      </c>
      <c r="AV31" s="455"/>
      <c r="AW31" s="455">
        <f t="shared" si="19"/>
        <v>-323685.45026001101</v>
      </c>
      <c r="AX31" s="459">
        <f t="shared" si="20"/>
        <v>-3.1767999999999987E-4</v>
      </c>
      <c r="AY31" s="460"/>
      <c r="AZ31" s="461">
        <v>1019133.26</v>
      </c>
      <c r="BA31" s="462"/>
      <c r="BB31" s="460">
        <f t="shared" si="21"/>
        <v>104870</v>
      </c>
      <c r="BC31" s="460">
        <f t="shared" si="30"/>
        <v>-260883.02384150992</v>
      </c>
      <c r="BD31" s="460">
        <f t="shared" si="27"/>
        <v>-156013.02384150992</v>
      </c>
    </row>
    <row r="32" spans="1:56" ht="15.75" x14ac:dyDescent="0.2">
      <c r="A32" s="417" t="s">
        <v>18</v>
      </c>
      <c r="B32" s="440">
        <f>'State Population'!I23</f>
        <v>10241278</v>
      </c>
      <c r="C32" s="441">
        <f t="shared" si="0"/>
        <v>0.25960781399068916</v>
      </c>
      <c r="D32" s="442">
        <f>'Poverty-Uninsured Population'!E21</f>
        <v>0.29395787989462685</v>
      </c>
      <c r="E32" s="441">
        <f>Prevalence!J21</f>
        <v>0.31304131633667842</v>
      </c>
      <c r="F32" s="442">
        <f t="shared" si="31"/>
        <v>0.28059953423106831</v>
      </c>
      <c r="G32" s="443">
        <f>'Self Suff. Calc'!F23</f>
        <v>1.200353491680896</v>
      </c>
      <c r="H32" s="442">
        <f t="shared" si="32"/>
        <v>0.30308717280995934</v>
      </c>
      <c r="I32" s="442">
        <f t="shared" si="22"/>
        <v>0.28927527964381755</v>
      </c>
      <c r="J32" s="442">
        <f>'Resources-new'!M23</f>
        <v>0.32325926761659279</v>
      </c>
      <c r="K32" s="442">
        <f>'[1]Allocation 2021-22'!K25</f>
        <v>0.27424100000000001</v>
      </c>
      <c r="L32" s="444">
        <f t="shared" si="1"/>
        <v>0.27097613267391019</v>
      </c>
      <c r="M32" s="445">
        <f t="shared" si="2"/>
        <v>349274585.21181238</v>
      </c>
      <c r="N32" s="447"/>
      <c r="O32" s="447">
        <f t="shared" si="3"/>
        <v>0</v>
      </c>
      <c r="P32" s="445">
        <f t="shared" si="4"/>
        <v>349274585.21181238</v>
      </c>
      <c r="Q32" s="445">
        <f t="shared" si="5"/>
        <v>454123204.49094456</v>
      </c>
      <c r="R32" s="445">
        <f t="shared" si="6"/>
        <v>803397789.70275688</v>
      </c>
      <c r="S32" s="449">
        <f t="shared" si="23"/>
        <v>0.27909033</v>
      </c>
      <c r="T32" s="450"/>
      <c r="U32" s="451">
        <v>0.28566950456457074</v>
      </c>
      <c r="V32" s="451">
        <f t="shared" si="24"/>
        <v>-6.5791745645707445E-3</v>
      </c>
      <c r="W32" s="423">
        <f t="shared" si="7"/>
        <v>450000</v>
      </c>
      <c r="X32" s="452">
        <f t="shared" si="8"/>
        <v>349274585.21181238</v>
      </c>
      <c r="Y32" s="422">
        <v>0.28566950456457074</v>
      </c>
      <c r="Z32" s="401"/>
      <c r="AA32" s="449">
        <v>0.28556516999999998</v>
      </c>
      <c r="AB32" s="420">
        <v>28.556516999999999</v>
      </c>
      <c r="AC32" s="459">
        <f t="shared" si="28"/>
        <v>-6.4748399999999817E-3</v>
      </c>
      <c r="AD32" s="455">
        <v>120397345.37</v>
      </c>
      <c r="AE32" s="455">
        <f t="shared" si="29"/>
        <v>117667483.23462044</v>
      </c>
      <c r="AF32" s="455">
        <f t="shared" si="25"/>
        <v>-2729862.1353795677</v>
      </c>
      <c r="AG32" s="455">
        <v>26733649.780000001</v>
      </c>
      <c r="AH32" s="455">
        <f t="shared" si="9"/>
        <v>26127497.050486062</v>
      </c>
      <c r="AI32" s="455">
        <f t="shared" si="10"/>
        <v>-606152.72951393947</v>
      </c>
      <c r="AJ32" s="455">
        <v>36829239.990000002</v>
      </c>
      <c r="AK32" s="455">
        <f t="shared" si="11"/>
        <v>35994182.13103915</v>
      </c>
      <c r="AL32" s="455">
        <f t="shared" si="12"/>
        <v>-835057.85896085203</v>
      </c>
      <c r="AM32" s="455">
        <v>29032460.239999998</v>
      </c>
      <c r="AN32" s="455">
        <f t="shared" si="13"/>
        <v>28374184.79567318</v>
      </c>
      <c r="AO32" s="455">
        <f t="shared" si="14"/>
        <v>-658275.44432681799</v>
      </c>
      <c r="AP32" s="455">
        <v>21517195.34</v>
      </c>
      <c r="AQ32" s="456">
        <f t="shared" si="15"/>
        <v>21029319.320984367</v>
      </c>
      <c r="AR32" s="456">
        <f t="shared" si="26"/>
        <v>-487876.01901563257</v>
      </c>
      <c r="AS32" s="456">
        <f t="shared" si="16"/>
        <v>234509890.72000003</v>
      </c>
      <c r="AT32" s="457">
        <f>SUM(AF32+AI32+AL32+AO32+AR32)+AJ76</f>
        <v>-5317224.1871968098</v>
      </c>
      <c r="AU32" s="458">
        <f t="shared" si="18"/>
        <v>212479068.82712936</v>
      </c>
      <c r="AV32" s="455"/>
      <c r="AW32" s="455">
        <f t="shared" si="19"/>
        <v>-22030821.892870665</v>
      </c>
      <c r="AX32" s="459">
        <f t="shared" si="20"/>
        <v>-6.4748399999999817E-3</v>
      </c>
      <c r="AY32" s="460"/>
      <c r="AZ32" s="461">
        <v>212992695.38</v>
      </c>
      <c r="BA32" s="462"/>
      <c r="BB32" s="460">
        <f t="shared" si="21"/>
        <v>27909033</v>
      </c>
      <c r="BC32" s="460">
        <f t="shared" si="30"/>
        <v>-5317224.1871968098</v>
      </c>
      <c r="BD32" s="460">
        <f t="shared" si="27"/>
        <v>22591808.81280319</v>
      </c>
    </row>
    <row r="33" spans="1:56" ht="15.75" x14ac:dyDescent="0.2">
      <c r="A33" s="417" t="s">
        <v>19</v>
      </c>
      <c r="B33" s="440">
        <f>'State Population'!I24</f>
        <v>156492</v>
      </c>
      <c r="C33" s="441">
        <f t="shared" si="0"/>
        <v>3.9669410426150841E-3</v>
      </c>
      <c r="D33" s="442">
        <f>'Poverty-Uninsured Population'!E22</f>
        <v>5.5183584528090681E-3</v>
      </c>
      <c r="E33" s="441">
        <f>Prevalence!J22</f>
        <v>5.3412892143567493E-3</v>
      </c>
      <c r="F33" s="442">
        <f t="shared" si="31"/>
        <v>4.7072359000216116E-3</v>
      </c>
      <c r="G33" s="443">
        <f>'Self Suff. Calc'!F24</f>
        <v>0.82438362788087205</v>
      </c>
      <c r="H33" s="442">
        <f t="shared" si="32"/>
        <v>4.3765688234333258E-3</v>
      </c>
      <c r="I33" s="442">
        <f t="shared" si="22"/>
        <v>4.177125539631176E-3</v>
      </c>
      <c r="J33" s="442">
        <f>'Resources-new'!M24</f>
        <v>3.5473619182547992E-3</v>
      </c>
      <c r="K33" s="442">
        <f>'[1]Allocation 2021-22'!K26</f>
        <v>4.1590000000000004E-3</v>
      </c>
      <c r="L33" s="444">
        <f t="shared" si="1"/>
        <v>4.109486677013257E-3</v>
      </c>
      <c r="M33" s="445">
        <f t="shared" si="2"/>
        <v>5296921.3206483629</v>
      </c>
      <c r="N33" s="447"/>
      <c r="O33" s="447">
        <f t="shared" si="3"/>
        <v>0</v>
      </c>
      <c r="P33" s="445">
        <f t="shared" si="4"/>
        <v>5296921.3206483629</v>
      </c>
      <c r="Q33" s="445">
        <f t="shared" si="5"/>
        <v>6956339.56104297</v>
      </c>
      <c r="R33" s="445">
        <f t="shared" si="6"/>
        <v>12253260.881691333</v>
      </c>
      <c r="S33" s="449">
        <f t="shared" si="23"/>
        <v>4.25663E-3</v>
      </c>
      <c r="T33" s="450"/>
      <c r="U33" s="451">
        <v>4.3759359934352239E-3</v>
      </c>
      <c r="V33" s="451">
        <f t="shared" si="24"/>
        <v>-1.1930599343522395E-4</v>
      </c>
      <c r="W33" s="423">
        <f t="shared" si="7"/>
        <v>450000</v>
      </c>
      <c r="X33" s="452">
        <f t="shared" si="8"/>
        <v>5296921.3206483629</v>
      </c>
      <c r="Y33" s="422">
        <v>4.3759359934352239E-3</v>
      </c>
      <c r="Z33" s="401"/>
      <c r="AA33" s="449">
        <v>4.2498500000000003E-3</v>
      </c>
      <c r="AB33" s="420">
        <v>0.424985</v>
      </c>
      <c r="AC33" s="459">
        <f t="shared" si="28"/>
        <v>6.7799999999996335E-6</v>
      </c>
      <c r="AD33" s="455">
        <v>1791782.44</v>
      </c>
      <c r="AE33" s="455">
        <f t="shared" si="29"/>
        <v>1794640.9650272813</v>
      </c>
      <c r="AF33" s="455">
        <f t="shared" si="25"/>
        <v>2858.5250272813719</v>
      </c>
      <c r="AG33" s="455">
        <v>397856.65</v>
      </c>
      <c r="AH33" s="455">
        <f t="shared" si="9"/>
        <v>398491.36933554983</v>
      </c>
      <c r="AI33" s="455">
        <f t="shared" si="10"/>
        <v>634.71933554980205</v>
      </c>
      <c r="AJ33" s="455">
        <v>548101.67000000004</v>
      </c>
      <c r="AK33" s="455">
        <f t="shared" si="11"/>
        <v>548976.08055587299</v>
      </c>
      <c r="AL33" s="455">
        <f t="shared" si="12"/>
        <v>874.41055587294977</v>
      </c>
      <c r="AM33" s="455">
        <v>432068.1</v>
      </c>
      <c r="AN33" s="455">
        <f t="shared" si="13"/>
        <v>432757.402332092</v>
      </c>
      <c r="AO33" s="455">
        <f t="shared" si="14"/>
        <v>689.30233209201833</v>
      </c>
      <c r="AP33" s="455">
        <v>320224.11</v>
      </c>
      <c r="AQ33" s="456">
        <f t="shared" si="15"/>
        <v>320734.98032440495</v>
      </c>
      <c r="AR33" s="456">
        <f t="shared" si="26"/>
        <v>510.87032440496841</v>
      </c>
      <c r="AS33" s="456">
        <f t="shared" si="16"/>
        <v>3490032.9699999997</v>
      </c>
      <c r="AT33" s="457">
        <f t="shared" ref="AT33:AT72" si="33">SUM(AF33+AI33+AL33+AO33+AR33)</f>
        <v>5567.8275752011104</v>
      </c>
      <c r="AU33" s="458">
        <f t="shared" si="18"/>
        <v>3240688.3418054064</v>
      </c>
      <c r="AV33" s="455"/>
      <c r="AW33" s="455">
        <f t="shared" si="19"/>
        <v>-249344.62819459336</v>
      </c>
      <c r="AX33" s="459">
        <f t="shared" si="20"/>
        <v>6.7799999999996335E-6</v>
      </c>
      <c r="AY33" s="460"/>
      <c r="AZ33" s="461">
        <v>3169808.86</v>
      </c>
      <c r="BA33" s="462"/>
      <c r="BB33" s="460">
        <f t="shared" si="21"/>
        <v>425663</v>
      </c>
      <c r="BC33" s="460">
        <f t="shared" si="30"/>
        <v>5567.8275752011104</v>
      </c>
      <c r="BD33" s="460">
        <f t="shared" si="27"/>
        <v>431230.82757520111</v>
      </c>
    </row>
    <row r="34" spans="1:56" ht="15.75" x14ac:dyDescent="0.2">
      <c r="A34" s="417" t="s">
        <v>20</v>
      </c>
      <c r="B34" s="440">
        <f>'State Population'!I25</f>
        <v>263604</v>
      </c>
      <c r="C34" s="441">
        <f t="shared" si="0"/>
        <v>6.6821404710624612E-3</v>
      </c>
      <c r="D34" s="442">
        <f>'Poverty-Uninsured Population'!E23</f>
        <v>3.61207971839791E-3</v>
      </c>
      <c r="E34" s="441">
        <f>Prevalence!J23</f>
        <v>3.1317240755808699E-3</v>
      </c>
      <c r="F34" s="442">
        <f t="shared" si="31"/>
        <v>5.0510389661667775E-3</v>
      </c>
      <c r="G34" s="443">
        <f>'Self Suff. Calc'!F25</f>
        <v>1.528339256895364</v>
      </c>
      <c r="H34" s="442">
        <f t="shared" si="32"/>
        <v>6.1185038357404109E-3</v>
      </c>
      <c r="I34" s="442">
        <f t="shared" si="22"/>
        <v>5.8396793624630036E-3</v>
      </c>
      <c r="J34" s="442">
        <f>'Resources-new'!M25</f>
        <v>6.4154037999636796E-3</v>
      </c>
      <c r="K34" s="442">
        <f>'[1]Allocation 2021-22'!K27</f>
        <v>6.633E-3</v>
      </c>
      <c r="L34" s="444">
        <f t="shared" si="1"/>
        <v>6.5540334524234016E-3</v>
      </c>
      <c r="M34" s="445">
        <f t="shared" si="2"/>
        <v>8447818.9756817948</v>
      </c>
      <c r="N34" s="447"/>
      <c r="O34" s="447">
        <f t="shared" si="3"/>
        <v>0</v>
      </c>
      <c r="P34" s="445">
        <f t="shared" si="4"/>
        <v>8447818.9756817948</v>
      </c>
      <c r="Q34" s="445">
        <f t="shared" si="5"/>
        <v>9012047.8858845998</v>
      </c>
      <c r="R34" s="445">
        <f t="shared" si="6"/>
        <v>17459866.861566395</v>
      </c>
      <c r="S34" s="449">
        <f t="shared" si="23"/>
        <v>6.0653399999999998E-3</v>
      </c>
      <c r="T34" s="450"/>
      <c r="U34" s="451">
        <v>5.6690942660785719E-3</v>
      </c>
      <c r="V34" s="451">
        <f t="shared" si="24"/>
        <v>3.962457339214279E-4</v>
      </c>
      <c r="W34" s="423">
        <f t="shared" si="7"/>
        <v>450000</v>
      </c>
      <c r="X34" s="452">
        <f t="shared" si="8"/>
        <v>8447818.9756817948</v>
      </c>
      <c r="Y34" s="422">
        <v>5.6690942660785719E-3</v>
      </c>
      <c r="Z34" s="401"/>
      <c r="AA34" s="449">
        <v>5.7706099999999998E-3</v>
      </c>
      <c r="AB34" s="420">
        <v>0.57706100000000005</v>
      </c>
      <c r="AC34" s="459">
        <f t="shared" si="28"/>
        <v>2.9472999999999999E-4</v>
      </c>
      <c r="AD34" s="455">
        <v>2432951.21</v>
      </c>
      <c r="AE34" s="455">
        <f t="shared" si="29"/>
        <v>2557212.5439182101</v>
      </c>
      <c r="AF34" s="455">
        <f t="shared" si="25"/>
        <v>124261.33391821012</v>
      </c>
      <c r="AG34" s="455">
        <v>540225.07999999996</v>
      </c>
      <c r="AH34" s="455">
        <f t="shared" si="9"/>
        <v>567816.70995263476</v>
      </c>
      <c r="AI34" s="455">
        <f t="shared" si="10"/>
        <v>27591.629952634801</v>
      </c>
      <c r="AJ34" s="455">
        <v>744233.55</v>
      </c>
      <c r="AK34" s="455">
        <f t="shared" si="11"/>
        <v>782244.77589989221</v>
      </c>
      <c r="AL34" s="455">
        <f t="shared" si="12"/>
        <v>38011.225899892161</v>
      </c>
      <c r="AM34" s="455">
        <v>586678.71</v>
      </c>
      <c r="AN34" s="455">
        <f t="shared" si="13"/>
        <v>616642.92707163433</v>
      </c>
      <c r="AO34" s="455">
        <f t="shared" si="14"/>
        <v>29964.217071634368</v>
      </c>
      <c r="AP34" s="455">
        <v>434812.63</v>
      </c>
      <c r="AQ34" s="456">
        <f t="shared" si="15"/>
        <v>457020.3906754466</v>
      </c>
      <c r="AR34" s="456">
        <f t="shared" si="26"/>
        <v>22207.760675446596</v>
      </c>
      <c r="AS34" s="456">
        <f t="shared" si="16"/>
        <v>4738901.18</v>
      </c>
      <c r="AT34" s="457">
        <f t="shared" si="33"/>
        <v>242036.16751781804</v>
      </c>
      <c r="AU34" s="458">
        <f t="shared" si="18"/>
        <v>4617708.5222549299</v>
      </c>
      <c r="AV34" s="455"/>
      <c r="AW34" s="455">
        <f t="shared" si="19"/>
        <v>-121192.65774506982</v>
      </c>
      <c r="AX34" s="459">
        <f t="shared" si="20"/>
        <v>2.9472999999999999E-4</v>
      </c>
      <c r="AY34" s="460"/>
      <c r="AZ34" s="461">
        <v>4304088.55</v>
      </c>
      <c r="BA34" s="462"/>
      <c r="BB34" s="460">
        <f t="shared" si="21"/>
        <v>606534</v>
      </c>
      <c r="BC34" s="460">
        <f t="shared" si="30"/>
        <v>242036.16751781804</v>
      </c>
      <c r="BD34" s="460">
        <f t="shared" si="27"/>
        <v>848570.16751781804</v>
      </c>
    </row>
    <row r="35" spans="1:56" ht="15.75" x14ac:dyDescent="0.2">
      <c r="A35" s="417" t="s">
        <v>21</v>
      </c>
      <c r="B35" s="440">
        <f>'State Population'!I26</f>
        <v>18148</v>
      </c>
      <c r="C35" s="441">
        <f t="shared" si="0"/>
        <v>4.6003658999423965E-4</v>
      </c>
      <c r="D35" s="442">
        <f>'Poverty-Uninsured Population'!E24</f>
        <v>4.7349784687463067E-4</v>
      </c>
      <c r="E35" s="441">
        <f>Prevalence!J24</f>
        <v>4.2762860500858874E-4</v>
      </c>
      <c r="F35" s="442">
        <f t="shared" si="31"/>
        <v>4.5759337006122673E-4</v>
      </c>
      <c r="G35" s="443">
        <f>'Self Suff. Calc'!F26</f>
        <v>0.81413093589657715</v>
      </c>
      <c r="H35" s="442">
        <f t="shared" si="32"/>
        <v>4.235723894879421E-4</v>
      </c>
      <c r="I35" s="442">
        <f t="shared" si="22"/>
        <v>4.0426990123845383E-4</v>
      </c>
      <c r="J35" s="442">
        <f>'Resources-new'!M26</f>
        <v>8.6693744280502E-4</v>
      </c>
      <c r="K35" s="442">
        <f>'[1]Allocation 2021-22'!K28</f>
        <v>3.3500000000000001E-4</v>
      </c>
      <c r="L35" s="444">
        <f t="shared" si="1"/>
        <v>3.3101179052643444E-4</v>
      </c>
      <c r="M35" s="445">
        <f t="shared" si="2"/>
        <v>426657.52402433311</v>
      </c>
      <c r="N35" s="447"/>
      <c r="O35" s="447">
        <f t="shared" si="3"/>
        <v>0</v>
      </c>
      <c r="P35" s="445">
        <f t="shared" si="4"/>
        <v>426657.52402433311</v>
      </c>
      <c r="Q35" s="445">
        <f t="shared" si="5"/>
        <v>1690288.9264145575</v>
      </c>
      <c r="R35" s="445">
        <f t="shared" si="6"/>
        <v>2116946.4504388906</v>
      </c>
      <c r="S35" s="449">
        <f t="shared" si="23"/>
        <v>7.3539999999999999E-4</v>
      </c>
      <c r="T35" s="450"/>
      <c r="U35" s="451">
        <v>1.0632885424146066E-3</v>
      </c>
      <c r="V35" s="451">
        <f t="shared" si="24"/>
        <v>-3.2788854241460664E-4</v>
      </c>
      <c r="W35" s="423">
        <f t="shared" si="7"/>
        <v>350000</v>
      </c>
      <c r="X35" s="452">
        <f t="shared" si="8"/>
        <v>426657.52402433311</v>
      </c>
      <c r="Y35" s="422">
        <v>1.0632885424146066E-3</v>
      </c>
      <c r="Z35" s="401"/>
      <c r="AA35" s="449">
        <v>9.2895E-4</v>
      </c>
      <c r="AB35" s="420">
        <v>9.2895000000000005E-2</v>
      </c>
      <c r="AC35" s="459">
        <f t="shared" si="28"/>
        <v>-1.9355000000000002E-4</v>
      </c>
      <c r="AD35" s="455">
        <v>391655.31</v>
      </c>
      <c r="AE35" s="455">
        <f t="shared" si="29"/>
        <v>310052.54524848593</v>
      </c>
      <c r="AF35" s="455">
        <f t="shared" si="25"/>
        <v>-81602.764751514071</v>
      </c>
      <c r="AG35" s="455">
        <v>86965.17</v>
      </c>
      <c r="AH35" s="455">
        <f t="shared" si="9"/>
        <v>68845.672047926026</v>
      </c>
      <c r="AI35" s="455">
        <f t="shared" si="10"/>
        <v>-18119.497952073973</v>
      </c>
      <c r="AJ35" s="455">
        <v>119806.36</v>
      </c>
      <c r="AK35" s="455">
        <f t="shared" si="11"/>
        <v>94844.28048498201</v>
      </c>
      <c r="AL35" s="455">
        <f t="shared" si="12"/>
        <v>-24962.079515017991</v>
      </c>
      <c r="AM35" s="455">
        <v>94443.25</v>
      </c>
      <c r="AN35" s="455">
        <f t="shared" si="13"/>
        <v>74765.669949002011</v>
      </c>
      <c r="AO35" s="455">
        <f t="shared" si="14"/>
        <v>-19677.580050997989</v>
      </c>
      <c r="AP35" s="455">
        <v>69995.929999999993</v>
      </c>
      <c r="AQ35" s="456">
        <f t="shared" si="15"/>
        <v>55412.028889184025</v>
      </c>
      <c r="AR35" s="456">
        <f t="shared" si="26"/>
        <v>-14583.901110815968</v>
      </c>
      <c r="AS35" s="456">
        <f t="shared" si="16"/>
        <v>762866.02</v>
      </c>
      <c r="AT35" s="457">
        <f t="shared" si="33"/>
        <v>-158945.82338041998</v>
      </c>
      <c r="AU35" s="458">
        <f t="shared" si="18"/>
        <v>559880.04749383801</v>
      </c>
      <c r="AV35" s="455"/>
      <c r="AW35" s="455">
        <f t="shared" si="19"/>
        <v>-202985.97250616201</v>
      </c>
      <c r="AX35" s="459">
        <f t="shared" si="20"/>
        <v>-1.9355000000000002E-4</v>
      </c>
      <c r="AY35" s="460"/>
      <c r="AZ35" s="461">
        <v>692870.09</v>
      </c>
      <c r="BA35" s="462"/>
      <c r="BB35" s="460">
        <f t="shared" si="21"/>
        <v>73540</v>
      </c>
      <c r="BC35" s="460">
        <f t="shared" si="30"/>
        <v>-158945.82338041998</v>
      </c>
      <c r="BD35" s="460">
        <f t="shared" si="27"/>
        <v>-85405.823380419984</v>
      </c>
    </row>
    <row r="36" spans="1:56" ht="15.75" x14ac:dyDescent="0.2">
      <c r="A36" s="417" t="s">
        <v>22</v>
      </c>
      <c r="B36" s="440">
        <f>'State Population'!I27</f>
        <v>89134</v>
      </c>
      <c r="C36" s="441">
        <f t="shared" si="0"/>
        <v>2.2594721959745732E-3</v>
      </c>
      <c r="D36" s="442">
        <f>'Poverty-Uninsured Population'!E25</f>
        <v>2.8815380794259154E-3</v>
      </c>
      <c r="E36" s="441">
        <f>Prevalence!J25</f>
        <v>2.695054696682036E-3</v>
      </c>
      <c r="F36" s="442">
        <f t="shared" si="31"/>
        <v>2.5332084611514685E-3</v>
      </c>
      <c r="G36" s="443">
        <f>'Self Suff. Calc'!F27</f>
        <v>0.94538031965732738</v>
      </c>
      <c r="H36" s="442">
        <f t="shared" si="32"/>
        <v>2.4778632465956895E-3</v>
      </c>
      <c r="I36" s="442">
        <f t="shared" si="22"/>
        <v>2.3649452958787584E-3</v>
      </c>
      <c r="J36" s="442">
        <f>'Resources-new'!M27</f>
        <v>3.7869376817330491E-3</v>
      </c>
      <c r="K36" s="442">
        <f>'[1]Allocation 2021-22'!K29</f>
        <v>1.9780000000000002E-3</v>
      </c>
      <c r="L36" s="444">
        <f t="shared" si="1"/>
        <v>1.9544517064516041E-3</v>
      </c>
      <c r="M36" s="445">
        <f t="shared" si="2"/>
        <v>2519189.7985675549</v>
      </c>
      <c r="N36" s="447"/>
      <c r="O36" s="447">
        <f t="shared" si="3"/>
        <v>0</v>
      </c>
      <c r="P36" s="445">
        <f t="shared" si="4"/>
        <v>2519189.7985675549</v>
      </c>
      <c r="Q36" s="445">
        <f t="shared" si="5"/>
        <v>4003307.2961994791</v>
      </c>
      <c r="R36" s="445">
        <f t="shared" si="6"/>
        <v>6522497.0947670341</v>
      </c>
      <c r="S36" s="449">
        <f t="shared" si="23"/>
        <v>2.2658299999999999E-3</v>
      </c>
      <c r="T36" s="450"/>
      <c r="U36" s="451">
        <v>2.5183095702123294E-3</v>
      </c>
      <c r="V36" s="451">
        <f t="shared" si="24"/>
        <v>-2.5247957021232951E-4</v>
      </c>
      <c r="W36" s="423">
        <f t="shared" si="7"/>
        <v>450000</v>
      </c>
      <c r="X36" s="452">
        <f t="shared" si="8"/>
        <v>2519189.7985675549</v>
      </c>
      <c r="Y36" s="422">
        <v>2.5183095702123294E-3</v>
      </c>
      <c r="Z36" s="401"/>
      <c r="AA36" s="449">
        <v>2.3881200000000001E-3</v>
      </c>
      <c r="AB36" s="420">
        <v>0.238812</v>
      </c>
      <c r="AC36" s="459">
        <f t="shared" si="28"/>
        <v>-1.2229000000000016E-4</v>
      </c>
      <c r="AD36" s="455">
        <v>1006857.06</v>
      </c>
      <c r="AE36" s="455">
        <f t="shared" si="29"/>
        <v>955298.28474350949</v>
      </c>
      <c r="AF36" s="455">
        <f t="shared" si="25"/>
        <v>-51558.775256490568</v>
      </c>
      <c r="AG36" s="455">
        <v>223567.75</v>
      </c>
      <c r="AH36" s="455">
        <f t="shared" si="9"/>
        <v>212119.37598089775</v>
      </c>
      <c r="AI36" s="455">
        <f t="shared" si="10"/>
        <v>-11448.374019102252</v>
      </c>
      <c r="AJ36" s="455">
        <v>307995</v>
      </c>
      <c r="AK36" s="455">
        <f t="shared" si="11"/>
        <v>292223.3016743089</v>
      </c>
      <c r="AL36" s="455">
        <f t="shared" si="12"/>
        <v>-15771.698325691104</v>
      </c>
      <c r="AM36" s="455">
        <v>242792.21</v>
      </c>
      <c r="AN36" s="455">
        <f t="shared" si="13"/>
        <v>230359.39344648796</v>
      </c>
      <c r="AO36" s="455">
        <f t="shared" si="14"/>
        <v>-12432.816553512035</v>
      </c>
      <c r="AP36" s="455">
        <v>179943.67</v>
      </c>
      <c r="AQ36" s="456">
        <f t="shared" si="15"/>
        <v>170729.17788683687</v>
      </c>
      <c r="AR36" s="456">
        <f t="shared" si="26"/>
        <v>-9214.4921131631418</v>
      </c>
      <c r="AS36" s="456">
        <f t="shared" si="16"/>
        <v>1961155.69</v>
      </c>
      <c r="AT36" s="457">
        <f t="shared" si="33"/>
        <v>-100426.1562679591</v>
      </c>
      <c r="AU36" s="458">
        <f t="shared" si="18"/>
        <v>1725038.08541333</v>
      </c>
      <c r="AV36" s="455"/>
      <c r="AW36" s="455">
        <f t="shared" si="19"/>
        <v>-236117.60458666994</v>
      </c>
      <c r="AX36" s="459">
        <f t="shared" si="20"/>
        <v>-1.2229000000000016E-4</v>
      </c>
      <c r="AY36" s="460"/>
      <c r="AZ36" s="461">
        <v>1781212.02</v>
      </c>
      <c r="BA36" s="462"/>
      <c r="BB36" s="460">
        <f t="shared" si="21"/>
        <v>226583</v>
      </c>
      <c r="BC36" s="460">
        <f t="shared" si="30"/>
        <v>-100426.1562679591</v>
      </c>
      <c r="BD36" s="460">
        <f t="shared" si="27"/>
        <v>126156.8437320409</v>
      </c>
    </row>
    <row r="37" spans="1:56" ht="15.75" x14ac:dyDescent="0.2">
      <c r="A37" s="417" t="s">
        <v>23</v>
      </c>
      <c r="B37" s="440">
        <f>'State Population'!I28</f>
        <v>274665</v>
      </c>
      <c r="C37" s="441">
        <f t="shared" si="0"/>
        <v>6.9625275507366009E-3</v>
      </c>
      <c r="D37" s="442">
        <f>'Poverty-Uninsured Population'!E26</f>
        <v>1.0210261658854761E-2</v>
      </c>
      <c r="E37" s="441">
        <f>Prevalence!J26</f>
        <v>1.0565048368140312E-2</v>
      </c>
      <c r="F37" s="442">
        <f t="shared" si="31"/>
        <v>8.6573519466527915E-3</v>
      </c>
      <c r="G37" s="443">
        <f>'Self Suff. Calc'!F28</f>
        <v>0.7904697557059237</v>
      </c>
      <c r="H37" s="442">
        <f t="shared" si="32"/>
        <v>7.931761119324008E-3</v>
      </c>
      <c r="I37" s="442">
        <f t="shared" si="22"/>
        <v>7.5703052510872094E-3</v>
      </c>
      <c r="J37" s="442">
        <f>'Resources-new'!M28</f>
        <v>7.0115939627733437E-3</v>
      </c>
      <c r="K37" s="442">
        <f>'[1]Allocation 2021-22'!K30</f>
        <v>7.6959999999999997E-3</v>
      </c>
      <c r="L37" s="444">
        <f t="shared" si="1"/>
        <v>7.6043783280341478E-3</v>
      </c>
      <c r="M37" s="445">
        <f t="shared" si="2"/>
        <v>9801660.6116157249</v>
      </c>
      <c r="N37" s="447"/>
      <c r="O37" s="447">
        <f t="shared" si="3"/>
        <v>0</v>
      </c>
      <c r="P37" s="445">
        <f t="shared" si="4"/>
        <v>9801660.6116157249</v>
      </c>
      <c r="Q37" s="445">
        <f t="shared" si="5"/>
        <v>11704671.94935012</v>
      </c>
      <c r="R37" s="445">
        <f t="shared" si="6"/>
        <v>21506332.560965843</v>
      </c>
      <c r="S37" s="449">
        <f t="shared" si="23"/>
        <v>7.47103E-3</v>
      </c>
      <c r="T37" s="450"/>
      <c r="U37" s="451">
        <v>7.3629090163093653E-3</v>
      </c>
      <c r="V37" s="451">
        <f t="shared" si="24"/>
        <v>1.0812098369063477E-4</v>
      </c>
      <c r="W37" s="423">
        <f t="shared" si="7"/>
        <v>450000</v>
      </c>
      <c r="X37" s="452">
        <f t="shared" si="8"/>
        <v>9801660.6116157249</v>
      </c>
      <c r="Y37" s="422">
        <v>7.3629090163093653E-3</v>
      </c>
      <c r="Z37" s="401"/>
      <c r="AA37" s="449">
        <v>7.4608299999999999E-3</v>
      </c>
      <c r="AB37" s="420">
        <v>0.74608300000000005</v>
      </c>
      <c r="AC37" s="459">
        <f t="shared" si="28"/>
        <v>1.020000000000014E-5</v>
      </c>
      <c r="AD37" s="455">
        <v>3145566.13</v>
      </c>
      <c r="AE37" s="455">
        <f t="shared" si="29"/>
        <v>3149866.5585093773</v>
      </c>
      <c r="AF37" s="455">
        <f t="shared" si="25"/>
        <v>4300.4285093774088</v>
      </c>
      <c r="AG37" s="455">
        <v>698457.79</v>
      </c>
      <c r="AH37" s="455">
        <f t="shared" si="9"/>
        <v>699412.67506148596</v>
      </c>
      <c r="AI37" s="455">
        <f t="shared" si="10"/>
        <v>954.88506148592569</v>
      </c>
      <c r="AJ37" s="455">
        <v>962220.63</v>
      </c>
      <c r="AK37" s="455">
        <f t="shared" si="11"/>
        <v>963536.12296942505</v>
      </c>
      <c r="AL37" s="455">
        <f t="shared" si="12"/>
        <v>1315.4929694250459</v>
      </c>
      <c r="AM37" s="455">
        <v>758517.75</v>
      </c>
      <c r="AN37" s="455">
        <f t="shared" si="13"/>
        <v>759554.75001236412</v>
      </c>
      <c r="AO37" s="455">
        <f t="shared" si="14"/>
        <v>1037.0000123641221</v>
      </c>
      <c r="AP37" s="455">
        <v>562169.88</v>
      </c>
      <c r="AQ37" s="456">
        <f t="shared" si="15"/>
        <v>562938.44192542904</v>
      </c>
      <c r="AR37" s="456">
        <f t="shared" si="26"/>
        <v>768.56192542903591</v>
      </c>
      <c r="AS37" s="456">
        <f t="shared" si="16"/>
        <v>6126932.1799999997</v>
      </c>
      <c r="AT37" s="457">
        <f t="shared" si="33"/>
        <v>8376.3684780815383</v>
      </c>
      <c r="AU37" s="458">
        <f t="shared" si="18"/>
        <v>5687898.6010713745</v>
      </c>
      <c r="AV37" s="455"/>
      <c r="AW37" s="455">
        <f t="shared" si="19"/>
        <v>-439033.57892862521</v>
      </c>
      <c r="AX37" s="459">
        <f t="shared" si="20"/>
        <v>1.020000000000014E-5</v>
      </c>
      <c r="AY37" s="460"/>
      <c r="AZ37" s="461">
        <v>5564762.2999999998</v>
      </c>
      <c r="BA37" s="462"/>
      <c r="BB37" s="460">
        <f t="shared" si="21"/>
        <v>747103</v>
      </c>
      <c r="BC37" s="460">
        <f t="shared" si="30"/>
        <v>8376.3684780815383</v>
      </c>
      <c r="BD37" s="460">
        <f t="shared" si="27"/>
        <v>755479.36847808154</v>
      </c>
    </row>
    <row r="38" spans="1:56" ht="15.75" x14ac:dyDescent="0.2">
      <c r="A38" s="417" t="s">
        <v>24</v>
      </c>
      <c r="B38" s="440">
        <f>'State Population'!I29</f>
        <v>9580</v>
      </c>
      <c r="C38" s="441">
        <f t="shared" si="0"/>
        <v>2.4284497091386467E-4</v>
      </c>
      <c r="D38" s="442">
        <f>'Poverty-Uninsured Population'!E27</f>
        <v>2.9856093008489236E-4</v>
      </c>
      <c r="E38" s="441">
        <f>Prevalence!J27</f>
        <v>3.1371485399150169E-4</v>
      </c>
      <c r="F38" s="442">
        <f t="shared" si="31"/>
        <v>2.7373373528070038E-4</v>
      </c>
      <c r="G38" s="443">
        <f>'Self Suff. Calc'!F29</f>
        <v>0.75616462607408685</v>
      </c>
      <c r="H38" s="442">
        <f t="shared" si="32"/>
        <v>2.4703534820137783E-4</v>
      </c>
      <c r="I38" s="442">
        <f t="shared" si="22"/>
        <v>2.3577777564895091E-4</v>
      </c>
      <c r="J38" s="442">
        <f>'Resources-new'!M29</f>
        <v>7.4844837349412894E-4</v>
      </c>
      <c r="K38" s="442">
        <f>'[1]Allocation 2021-22'!K31</f>
        <v>1.83E-4</v>
      </c>
      <c r="L38" s="444">
        <f t="shared" si="1"/>
        <v>1.8082136616817167E-4</v>
      </c>
      <c r="M38" s="445">
        <f t="shared" si="2"/>
        <v>233069.63252672527</v>
      </c>
      <c r="N38" s="447"/>
      <c r="O38" s="447">
        <f t="shared" si="3"/>
        <v>0</v>
      </c>
      <c r="P38" s="445">
        <f t="shared" si="4"/>
        <v>233069.63252672527</v>
      </c>
      <c r="Q38" s="445">
        <f t="shared" si="5"/>
        <v>1576309.3817913877</v>
      </c>
      <c r="R38" s="445">
        <f t="shared" si="6"/>
        <v>1809379.014318113</v>
      </c>
      <c r="S38" s="449">
        <f t="shared" si="23"/>
        <v>6.2856000000000001E-4</v>
      </c>
      <c r="T38" s="450"/>
      <c r="U38" s="451">
        <v>9.9158888091086255E-4</v>
      </c>
      <c r="V38" s="451">
        <f t="shared" si="24"/>
        <v>-3.6302888091086253E-4</v>
      </c>
      <c r="W38" s="423">
        <f t="shared" si="7"/>
        <v>350000</v>
      </c>
      <c r="X38" s="452">
        <f t="shared" si="8"/>
        <v>233069.63252672527</v>
      </c>
      <c r="Y38" s="422">
        <v>9.9158888091086255E-4</v>
      </c>
      <c r="Z38" s="401"/>
      <c r="AA38" s="449">
        <v>8.476E-4</v>
      </c>
      <c r="AB38" s="465">
        <v>8.4760000000000002E-2</v>
      </c>
      <c r="AC38" s="459">
        <f t="shared" si="28"/>
        <v>-2.1903999999999999E-4</v>
      </c>
      <c r="AD38" s="455">
        <v>357357.27</v>
      </c>
      <c r="AE38" s="455">
        <f t="shared" si="29"/>
        <v>265007.65276229032</v>
      </c>
      <c r="AF38" s="455">
        <f t="shared" si="25"/>
        <v>-92349.617237709695</v>
      </c>
      <c r="AG38" s="455">
        <v>79349.460000000006</v>
      </c>
      <c r="AH38" s="455">
        <f t="shared" si="9"/>
        <v>58843.670957906419</v>
      </c>
      <c r="AI38" s="455">
        <f t="shared" si="10"/>
        <v>-20505.789042093587</v>
      </c>
      <c r="AJ38" s="455">
        <v>109314.68</v>
      </c>
      <c r="AK38" s="455">
        <f t="shared" si="11"/>
        <v>81065.163097144803</v>
      </c>
      <c r="AL38" s="455">
        <f t="shared" si="12"/>
        <v>-28249.51690285519</v>
      </c>
      <c r="AM38" s="455">
        <v>86172.67</v>
      </c>
      <c r="AN38" s="455">
        <f t="shared" si="13"/>
        <v>63903.602805472816</v>
      </c>
      <c r="AO38" s="455">
        <f t="shared" si="14"/>
        <v>-22269.067194527182</v>
      </c>
      <c r="AP38" s="455">
        <v>63866.239999999998</v>
      </c>
      <c r="AQ38" s="456">
        <f t="shared" si="15"/>
        <v>47361.687351897628</v>
      </c>
      <c r="AR38" s="456">
        <f t="shared" si="26"/>
        <v>-16504.55264810237</v>
      </c>
      <c r="AS38" s="456">
        <f t="shared" si="16"/>
        <v>696060.32000000007</v>
      </c>
      <c r="AT38" s="457">
        <f t="shared" si="33"/>
        <v>-179878.54302528803</v>
      </c>
      <c r="AU38" s="458">
        <f t="shared" si="18"/>
        <v>478539.84586990322</v>
      </c>
      <c r="AV38" s="455"/>
      <c r="AW38" s="455">
        <f t="shared" si="19"/>
        <v>-217520.47413009685</v>
      </c>
      <c r="AX38" s="459">
        <f t="shared" si="20"/>
        <v>-2.1903999999999999E-4</v>
      </c>
      <c r="AY38" s="460"/>
      <c r="AZ38" s="461">
        <v>632194.07999999996</v>
      </c>
      <c r="BA38" s="462"/>
      <c r="BB38" s="460">
        <f t="shared" si="21"/>
        <v>62856</v>
      </c>
      <c r="BC38" s="460">
        <f t="shared" si="30"/>
        <v>-179878.54302528803</v>
      </c>
      <c r="BD38" s="460">
        <f t="shared" si="27"/>
        <v>-117022.54302528803</v>
      </c>
    </row>
    <row r="39" spans="1:56" ht="15.75" x14ac:dyDescent="0.2">
      <c r="A39" s="417" t="s">
        <v>25</v>
      </c>
      <c r="B39" s="440">
        <f>'State Population'!I30</f>
        <v>13713</v>
      </c>
      <c r="C39" s="441">
        <f t="shared" si="0"/>
        <v>3.4761305700854137E-4</v>
      </c>
      <c r="D39" s="442">
        <f>'Poverty-Uninsured Population'!E28</f>
        <v>3.9374165617908771E-4</v>
      </c>
      <c r="E39" s="441">
        <f>Prevalence!J28</f>
        <v>3.2998824699394269E-4</v>
      </c>
      <c r="F39" s="442">
        <f t="shared" si="31"/>
        <v>3.579266747567855E-4</v>
      </c>
      <c r="G39" s="443">
        <f>'Self Suff. Calc'!F30</f>
        <v>1.1682383373615322</v>
      </c>
      <c r="H39" s="442">
        <f t="shared" si="32"/>
        <v>3.8201347022015486E-4</v>
      </c>
      <c r="I39" s="442">
        <f t="shared" si="22"/>
        <v>3.646048508127733E-4</v>
      </c>
      <c r="J39" s="442">
        <f>'Resources-new'!M30</f>
        <v>6.558221656124424E-4</v>
      </c>
      <c r="K39" s="442">
        <f>'[1]Allocation 2021-22'!K32</f>
        <v>2.6200000000000003E-4</v>
      </c>
      <c r="L39" s="444">
        <f t="shared" si="1"/>
        <v>2.5888086303858457E-4</v>
      </c>
      <c r="M39" s="445">
        <f t="shared" si="2"/>
        <v>333684.39192350832</v>
      </c>
      <c r="N39" s="447"/>
      <c r="O39" s="447">
        <f t="shared" si="3"/>
        <v>0</v>
      </c>
      <c r="P39" s="445">
        <f t="shared" si="4"/>
        <v>333684.39192350832</v>
      </c>
      <c r="Q39" s="445">
        <f t="shared" si="5"/>
        <v>1643979.6407593642</v>
      </c>
      <c r="R39" s="445">
        <f t="shared" si="6"/>
        <v>1977664.0326828726</v>
      </c>
      <c r="S39" s="449">
        <f t="shared" si="23"/>
        <v>6.8701999999999999E-4</v>
      </c>
      <c r="T39" s="450"/>
      <c r="U39" s="451">
        <v>1.0341573494717408E-3</v>
      </c>
      <c r="V39" s="451">
        <f t="shared" si="24"/>
        <v>-3.4713734947174079E-4</v>
      </c>
      <c r="W39" s="423">
        <f t="shared" si="7"/>
        <v>350000</v>
      </c>
      <c r="X39" s="452">
        <f t="shared" si="8"/>
        <v>333684.39192350832</v>
      </c>
      <c r="Y39" s="422">
        <v>1.0341573494717408E-3</v>
      </c>
      <c r="Z39" s="401"/>
      <c r="AA39" s="449">
        <v>8.9981000000000002E-4</v>
      </c>
      <c r="AB39" s="420">
        <v>8.9981000000000005E-2</v>
      </c>
      <c r="AC39" s="459">
        <f t="shared" si="28"/>
        <v>-2.1279000000000003E-4</v>
      </c>
      <c r="AD39" s="455">
        <v>379369.57</v>
      </c>
      <c r="AE39" s="455">
        <f t="shared" si="29"/>
        <v>289655.01718332176</v>
      </c>
      <c r="AF39" s="455">
        <f t="shared" si="25"/>
        <v>-89714.552816678246</v>
      </c>
      <c r="AG39" s="455">
        <v>84237.18</v>
      </c>
      <c r="AH39" s="455">
        <f t="shared" si="9"/>
        <v>64316.499334193817</v>
      </c>
      <c r="AI39" s="455">
        <f t="shared" si="10"/>
        <v>-19920.680665806176</v>
      </c>
      <c r="AJ39" s="455">
        <v>116048.18</v>
      </c>
      <c r="AK39" s="455">
        <f t="shared" si="11"/>
        <v>88604.728826206614</v>
      </c>
      <c r="AL39" s="455">
        <f t="shared" si="12"/>
        <v>-27443.451173793379</v>
      </c>
      <c r="AM39" s="455">
        <v>91480.69</v>
      </c>
      <c r="AN39" s="455">
        <f t="shared" si="13"/>
        <v>69847.03639973262</v>
      </c>
      <c r="AO39" s="455">
        <f t="shared" si="14"/>
        <v>-21633.653600267382</v>
      </c>
      <c r="AP39" s="455">
        <v>67800.240000000005</v>
      </c>
      <c r="AQ39" s="456">
        <f t="shared" si="15"/>
        <v>51766.619645699226</v>
      </c>
      <c r="AR39" s="456">
        <f t="shared" si="26"/>
        <v>-16033.62035430078</v>
      </c>
      <c r="AS39" s="456">
        <f t="shared" si="16"/>
        <v>738935.85999999987</v>
      </c>
      <c r="AT39" s="457">
        <f t="shared" si="33"/>
        <v>-174745.95861084596</v>
      </c>
      <c r="AU39" s="458">
        <f t="shared" si="18"/>
        <v>523047.03593855939</v>
      </c>
      <c r="AV39" s="455"/>
      <c r="AW39" s="455">
        <f t="shared" si="19"/>
        <v>-215888.82406144048</v>
      </c>
      <c r="AX39" s="459">
        <f t="shared" si="20"/>
        <v>-2.1279000000000003E-4</v>
      </c>
      <c r="AY39" s="460"/>
      <c r="AZ39" s="461">
        <v>671135.62</v>
      </c>
      <c r="BA39" s="462"/>
      <c r="BB39" s="460">
        <f t="shared" si="21"/>
        <v>68702</v>
      </c>
      <c r="BC39" s="460">
        <f t="shared" si="30"/>
        <v>-174745.95861084596</v>
      </c>
      <c r="BD39" s="460">
        <f t="shared" si="27"/>
        <v>-106043.95861084596</v>
      </c>
    </row>
    <row r="40" spans="1:56" ht="15.75" x14ac:dyDescent="0.2">
      <c r="A40" s="417" t="s">
        <v>26</v>
      </c>
      <c r="B40" s="440">
        <f>'State Population'!I31</f>
        <v>442365</v>
      </c>
      <c r="C40" s="441">
        <f t="shared" si="0"/>
        <v>1.1213581999823773E-2</v>
      </c>
      <c r="D40" s="442">
        <f>'Poverty-Uninsured Population'!E29</f>
        <v>1.2624261561300126E-2</v>
      </c>
      <c r="E40" s="441">
        <f>Prevalence!J29</f>
        <v>1.1322665220142844E-2</v>
      </c>
      <c r="F40" s="442">
        <f t="shared" si="31"/>
        <v>1.1658602512330491E-2</v>
      </c>
      <c r="G40" s="443">
        <f>'Self Suff. Calc'!F31</f>
        <v>1.1248452176754136</v>
      </c>
      <c r="H40" s="442">
        <f t="shared" si="32"/>
        <v>1.2240810819707699E-2</v>
      </c>
      <c r="I40" s="442">
        <f t="shared" si="22"/>
        <v>1.1682988561044301E-2</v>
      </c>
      <c r="J40" s="442">
        <f>'Resources-new'!M31</f>
        <v>1.0174595587632961E-2</v>
      </c>
      <c r="K40" s="442">
        <f>'[1]Allocation 2021-22'!K33</f>
        <v>1.1455E-2</v>
      </c>
      <c r="L40" s="444">
        <f t="shared" si="1"/>
        <v>1.1318627046209871E-2</v>
      </c>
      <c r="M40" s="445">
        <f t="shared" si="2"/>
        <v>14589140.11253354</v>
      </c>
      <c r="N40" s="447"/>
      <c r="O40" s="447">
        <f t="shared" si="3"/>
        <v>0</v>
      </c>
      <c r="P40" s="445">
        <f t="shared" si="4"/>
        <v>14589140.11253354</v>
      </c>
      <c r="Q40" s="445">
        <f t="shared" si="5"/>
        <v>18642748.693514984</v>
      </c>
      <c r="R40" s="445">
        <f t="shared" si="6"/>
        <v>33231888.806048524</v>
      </c>
      <c r="S40" s="449">
        <f t="shared" si="23"/>
        <v>1.154434E-2</v>
      </c>
      <c r="T40" s="450"/>
      <c r="U40" s="451">
        <v>1.1727356651964303E-2</v>
      </c>
      <c r="V40" s="451">
        <f t="shared" si="24"/>
        <v>-1.8301665196430311E-4</v>
      </c>
      <c r="W40" s="423">
        <f t="shared" si="7"/>
        <v>450000</v>
      </c>
      <c r="X40" s="452">
        <f t="shared" si="8"/>
        <v>14589140.11253354</v>
      </c>
      <c r="Y40" s="422">
        <v>1.1727356651964303E-2</v>
      </c>
      <c r="Z40" s="401"/>
      <c r="AA40" s="449">
        <v>1.1718070000000001E-2</v>
      </c>
      <c r="AB40" s="420">
        <v>1.171807</v>
      </c>
      <c r="AC40" s="459">
        <f t="shared" si="28"/>
        <v>-1.7373000000000041E-4</v>
      </c>
      <c r="AD40" s="455">
        <v>4940464.28</v>
      </c>
      <c r="AE40" s="455">
        <f t="shared" si="29"/>
        <v>4867217.8409218192</v>
      </c>
      <c r="AF40" s="455">
        <f t="shared" si="25"/>
        <v>-73246.439078181051</v>
      </c>
      <c r="AG40" s="455">
        <v>1097006.26</v>
      </c>
      <c r="AH40" s="455">
        <f t="shared" si="9"/>
        <v>1080742.2432006449</v>
      </c>
      <c r="AI40" s="455">
        <f t="shared" si="10"/>
        <v>-16264.016799355159</v>
      </c>
      <c r="AJ40" s="455">
        <v>1511275.38</v>
      </c>
      <c r="AK40" s="455">
        <f t="shared" si="11"/>
        <v>1488869.4873184625</v>
      </c>
      <c r="AL40" s="455">
        <f t="shared" si="12"/>
        <v>-22405.892681537429</v>
      </c>
      <c r="AM40" s="455">
        <v>1191337.17</v>
      </c>
      <c r="AN40" s="455">
        <f t="shared" si="13"/>
        <v>1173674.6181929044</v>
      </c>
      <c r="AO40" s="455">
        <f t="shared" si="14"/>
        <v>-17662.55180709553</v>
      </c>
      <c r="AP40" s="455">
        <v>882950.82</v>
      </c>
      <c r="AQ40" s="456">
        <f t="shared" si="15"/>
        <v>869860.35026728688</v>
      </c>
      <c r="AR40" s="456">
        <f t="shared" si="26"/>
        <v>-13090.469732713071</v>
      </c>
      <c r="AS40" s="456">
        <f t="shared" si="16"/>
        <v>9623033.9100000001</v>
      </c>
      <c r="AT40" s="457">
        <f t="shared" si="33"/>
        <v>-142669.37009888224</v>
      </c>
      <c r="AU40" s="458">
        <f t="shared" si="18"/>
        <v>8789020.4344370607</v>
      </c>
      <c r="AV40" s="455"/>
      <c r="AW40" s="455">
        <f t="shared" si="19"/>
        <v>-834013.47556293942</v>
      </c>
      <c r="AX40" s="459">
        <f t="shared" si="20"/>
        <v>-1.7373000000000041E-4</v>
      </c>
      <c r="AY40" s="460"/>
      <c r="AZ40" s="461">
        <v>8740083.0899999999</v>
      </c>
      <c r="BA40" s="462"/>
      <c r="BB40" s="460">
        <f t="shared" si="21"/>
        <v>1154434</v>
      </c>
      <c r="BC40" s="460">
        <f t="shared" si="30"/>
        <v>-142669.37009888224</v>
      </c>
      <c r="BD40" s="460">
        <f t="shared" si="27"/>
        <v>1011764.6299011178</v>
      </c>
    </row>
    <row r="41" spans="1:56" ht="15.75" x14ac:dyDescent="0.2">
      <c r="A41" s="417" t="s">
        <v>27</v>
      </c>
      <c r="B41" s="440">
        <f>'State Population'!I32</f>
        <v>142408</v>
      </c>
      <c r="C41" s="441">
        <f t="shared" si="0"/>
        <v>3.6099234465450563E-3</v>
      </c>
      <c r="D41" s="442">
        <f>'Poverty-Uninsured Population'!E30</f>
        <v>2.79531033754238E-3</v>
      </c>
      <c r="E41" s="441">
        <f>Prevalence!J30</f>
        <v>2.4464334147002984E-3</v>
      </c>
      <c r="F41" s="442">
        <f t="shared" si="31"/>
        <v>3.1328415074753017E-3</v>
      </c>
      <c r="G41" s="443">
        <f>'Self Suff. Calc'!F32</f>
        <v>1.1700839254084392</v>
      </c>
      <c r="H41" s="442">
        <f t="shared" si="32"/>
        <v>3.3459798999848581E-3</v>
      </c>
      <c r="I41" s="442">
        <f t="shared" si="22"/>
        <v>3.1935012698726369E-3</v>
      </c>
      <c r="J41" s="442">
        <f>'Resources-new'!M32</f>
        <v>3.9912316137657002E-3</v>
      </c>
      <c r="K41" s="442">
        <f>'[1]Allocation 2021-22'!K34</f>
        <v>2.8830000000000001E-3</v>
      </c>
      <c r="L41" s="444">
        <f t="shared" si="1"/>
        <v>2.8486775883215239E-3</v>
      </c>
      <c r="M41" s="445">
        <f t="shared" si="2"/>
        <v>3671801.9157079174</v>
      </c>
      <c r="N41" s="447"/>
      <c r="O41" s="447">
        <f t="shared" si="3"/>
        <v>0</v>
      </c>
      <c r="P41" s="445">
        <f t="shared" si="4"/>
        <v>3671801.9157079174</v>
      </c>
      <c r="Q41" s="445">
        <f t="shared" si="5"/>
        <v>5355734.1103691049</v>
      </c>
      <c r="R41" s="445">
        <f t="shared" si="6"/>
        <v>9027536.0260770228</v>
      </c>
      <c r="S41" s="449">
        <f t="shared" si="23"/>
        <v>3.13605E-3</v>
      </c>
      <c r="T41" s="450"/>
      <c r="U41" s="451">
        <v>3.3690634936916607E-3</v>
      </c>
      <c r="V41" s="451">
        <f t="shared" si="24"/>
        <v>-2.330134936916607E-4</v>
      </c>
      <c r="W41" s="423">
        <f t="shared" si="7"/>
        <v>450000</v>
      </c>
      <c r="X41" s="452">
        <f t="shared" si="8"/>
        <v>3671801.9157079174</v>
      </c>
      <c r="Y41" s="422">
        <v>3.3690634936916607E-3</v>
      </c>
      <c r="Z41" s="401"/>
      <c r="AA41" s="449">
        <v>3.3104499999999999E-3</v>
      </c>
      <c r="AB41" s="420">
        <v>0.33104499999999998</v>
      </c>
      <c r="AC41" s="459">
        <f t="shared" si="28"/>
        <v>-1.743999999999999E-4</v>
      </c>
      <c r="AD41" s="455">
        <v>1395721.31</v>
      </c>
      <c r="AE41" s="455">
        <f t="shared" si="29"/>
        <v>1322192.3912517193</v>
      </c>
      <c r="AF41" s="455">
        <f t="shared" si="25"/>
        <v>-73528.918748280732</v>
      </c>
      <c r="AG41" s="455">
        <v>309913.18</v>
      </c>
      <c r="AH41" s="455">
        <f t="shared" si="9"/>
        <v>293586.4425154996</v>
      </c>
      <c r="AI41" s="455">
        <f t="shared" si="10"/>
        <v>-16326.737484500394</v>
      </c>
      <c r="AJ41" s="455">
        <v>426947.58</v>
      </c>
      <c r="AK41" s="455">
        <f t="shared" si="11"/>
        <v>404455.27034937154</v>
      </c>
      <c r="AL41" s="455">
        <f t="shared" si="12"/>
        <v>-22492.309650628478</v>
      </c>
      <c r="AM41" s="455">
        <v>336562.43</v>
      </c>
      <c r="AN41" s="455">
        <f t="shared" si="13"/>
        <v>318831.76399723656</v>
      </c>
      <c r="AO41" s="455">
        <f t="shared" si="14"/>
        <v>-17730.666002763435</v>
      </c>
      <c r="AP41" s="455">
        <v>249440.78</v>
      </c>
      <c r="AQ41" s="456">
        <f t="shared" si="15"/>
        <v>236299.82757400812</v>
      </c>
      <c r="AR41" s="456">
        <f t="shared" si="26"/>
        <v>-13140.952425991884</v>
      </c>
      <c r="AS41" s="456">
        <f t="shared" si="16"/>
        <v>2718585.28</v>
      </c>
      <c r="AT41" s="457">
        <f t="shared" si="33"/>
        <v>-143219.58431216492</v>
      </c>
      <c r="AU41" s="458">
        <f t="shared" si="18"/>
        <v>2387560.2705235938</v>
      </c>
      <c r="AV41" s="455"/>
      <c r="AW41" s="455">
        <f t="shared" si="19"/>
        <v>-331025.00947640603</v>
      </c>
      <c r="AX41" s="459">
        <f t="shared" si="20"/>
        <v>-1.743999999999999E-4</v>
      </c>
      <c r="AY41" s="460"/>
      <c r="AZ41" s="461">
        <v>2469144.5</v>
      </c>
      <c r="BA41" s="462"/>
      <c r="BB41" s="460">
        <f t="shared" si="21"/>
        <v>313605</v>
      </c>
      <c r="BC41" s="460">
        <f t="shared" si="30"/>
        <v>-143219.58431216492</v>
      </c>
      <c r="BD41" s="460">
        <f t="shared" si="27"/>
        <v>170385.41568783508</v>
      </c>
    </row>
    <row r="42" spans="1:56" ht="15.75" x14ac:dyDescent="0.2">
      <c r="A42" s="417" t="s">
        <v>28</v>
      </c>
      <c r="B42" s="440">
        <f>'State Population'!I33</f>
        <v>98828</v>
      </c>
      <c r="C42" s="441">
        <f t="shared" si="0"/>
        <v>2.5052069713439895E-3</v>
      </c>
      <c r="D42" s="442">
        <f>'Poverty-Uninsured Population'!E31</f>
        <v>2.0624945646686254E-3</v>
      </c>
      <c r="E42" s="441">
        <f>Prevalence!J31</f>
        <v>1.855166802278275E-3</v>
      </c>
      <c r="F42" s="442">
        <f t="shared" si="31"/>
        <v>2.2423852155282376E-3</v>
      </c>
      <c r="G42" s="443">
        <f>'Self Suff. Calc'!F33</f>
        <v>1.0255867504212226</v>
      </c>
      <c r="H42" s="442">
        <f t="shared" si="32"/>
        <v>2.265335355871422E-3</v>
      </c>
      <c r="I42" s="442">
        <f t="shared" si="22"/>
        <v>2.1621024488806722E-3</v>
      </c>
      <c r="J42" s="442">
        <f>'Resources-new'!M33</f>
        <v>2.692981988660444E-3</v>
      </c>
      <c r="K42" s="442">
        <f>'[1]Allocation 2021-22'!K35</f>
        <v>2.0049999999999998E-3</v>
      </c>
      <c r="L42" s="444">
        <f t="shared" si="1"/>
        <v>1.9811302686731373E-3</v>
      </c>
      <c r="M42" s="445">
        <f t="shared" si="2"/>
        <v>2553577.1213993668</v>
      </c>
      <c r="N42" s="447"/>
      <c r="O42" s="447">
        <f t="shared" si="3"/>
        <v>0</v>
      </c>
      <c r="P42" s="445">
        <f t="shared" si="4"/>
        <v>2553577.1213993668</v>
      </c>
      <c r="Q42" s="445">
        <f t="shared" si="5"/>
        <v>4383565.23334001</v>
      </c>
      <c r="R42" s="445">
        <f t="shared" si="6"/>
        <v>6937142.3547393773</v>
      </c>
      <c r="S42" s="449">
        <f t="shared" si="23"/>
        <v>2.4098800000000001E-3</v>
      </c>
      <c r="T42" s="450"/>
      <c r="U42" s="451">
        <v>2.7575135911375526E-3</v>
      </c>
      <c r="V42" s="451">
        <f t="shared" si="24"/>
        <v>-3.4763359113755251E-4</v>
      </c>
      <c r="W42" s="423">
        <f t="shared" si="7"/>
        <v>450000</v>
      </c>
      <c r="X42" s="452">
        <f t="shared" si="8"/>
        <v>2553577.1213993668</v>
      </c>
      <c r="Y42" s="422">
        <v>2.7575135911375526E-3</v>
      </c>
      <c r="Z42" s="401"/>
      <c r="AA42" s="449">
        <v>2.5579700000000001E-3</v>
      </c>
      <c r="AB42" s="420">
        <v>0.255797</v>
      </c>
      <c r="AC42" s="459">
        <f t="shared" si="28"/>
        <v>-1.4809000000000003E-4</v>
      </c>
      <c r="AD42" s="455">
        <v>1078467.6499999999</v>
      </c>
      <c r="AE42" s="455">
        <f t="shared" si="29"/>
        <v>1016031.313221949</v>
      </c>
      <c r="AF42" s="455">
        <f t="shared" si="25"/>
        <v>-62436.336778050871</v>
      </c>
      <c r="AG42" s="455">
        <v>239468.54</v>
      </c>
      <c r="AH42" s="455">
        <f t="shared" si="9"/>
        <v>225604.85199191727</v>
      </c>
      <c r="AI42" s="455">
        <f t="shared" si="10"/>
        <v>-13863.68800808274</v>
      </c>
      <c r="AJ42" s="455">
        <v>329900.5</v>
      </c>
      <c r="AK42" s="455">
        <f t="shared" si="11"/>
        <v>310801.37973232043</v>
      </c>
      <c r="AL42" s="455">
        <f t="shared" si="12"/>
        <v>-19099.120267679566</v>
      </c>
      <c r="AM42" s="455">
        <v>260060.29</v>
      </c>
      <c r="AN42" s="455">
        <f t="shared" si="13"/>
        <v>245004.47742276447</v>
      </c>
      <c r="AO42" s="455">
        <f t="shared" si="14"/>
        <v>-15055.812577235542</v>
      </c>
      <c r="AP42" s="455">
        <v>192741.78</v>
      </c>
      <c r="AQ42" s="456">
        <f t="shared" si="15"/>
        <v>181583.27465252491</v>
      </c>
      <c r="AR42" s="456">
        <f t="shared" si="26"/>
        <v>-11158.505347475089</v>
      </c>
      <c r="AS42" s="456">
        <f t="shared" si="16"/>
        <v>2100638.7599999998</v>
      </c>
      <c r="AT42" s="457">
        <f t="shared" si="33"/>
        <v>-121613.46297852381</v>
      </c>
      <c r="AU42" s="458">
        <f t="shared" si="18"/>
        <v>1834707.2733946838</v>
      </c>
      <c r="AV42" s="455"/>
      <c r="AW42" s="455">
        <f t="shared" si="19"/>
        <v>-265931.48660531593</v>
      </c>
      <c r="AX42" s="459">
        <f t="shared" si="20"/>
        <v>-1.4809000000000003E-4</v>
      </c>
      <c r="AY42" s="460"/>
      <c r="AZ42" s="461">
        <v>1907896.98</v>
      </c>
      <c r="BA42" s="462"/>
      <c r="BB42" s="460">
        <f t="shared" si="21"/>
        <v>240988</v>
      </c>
      <c r="BC42" s="460">
        <f t="shared" si="30"/>
        <v>-121613.46297852381</v>
      </c>
      <c r="BD42" s="460">
        <f t="shared" si="27"/>
        <v>119374.53702147619</v>
      </c>
    </row>
    <row r="43" spans="1:56" ht="15.75" x14ac:dyDescent="0.2">
      <c r="A43" s="417" t="s">
        <v>29</v>
      </c>
      <c r="B43" s="440">
        <f>'State Population'!I34</f>
        <v>3194024</v>
      </c>
      <c r="C43" s="441">
        <f t="shared" si="0"/>
        <v>8.0965831459100801E-2</v>
      </c>
      <c r="D43" s="442">
        <f>'Poverty-Uninsured Population'!E32</f>
        <v>6.6839651524951707E-2</v>
      </c>
      <c r="E43" s="441">
        <f>Prevalence!J32</f>
        <v>6.4734653286321303E-2</v>
      </c>
      <c r="F43" s="442">
        <f t="shared" si="31"/>
        <v>7.3481741844300175E-2</v>
      </c>
      <c r="G43" s="443">
        <f>'Self Suff. Calc'!F34</f>
        <v>1.337553376030113</v>
      </c>
      <c r="H43" s="442">
        <f t="shared" si="32"/>
        <v>8.3403345858746869E-2</v>
      </c>
      <c r="I43" s="442">
        <f t="shared" si="22"/>
        <v>7.9602597407336551E-2</v>
      </c>
      <c r="J43" s="442">
        <f>'Resources-new'!M34</f>
        <v>5.8665143124024474E-2</v>
      </c>
      <c r="K43" s="442">
        <f>'[1]Allocation 2021-22'!K36</f>
        <v>8.2282999999999995E-2</v>
      </c>
      <c r="L43" s="444">
        <f t="shared" si="1"/>
        <v>8.1303412417571955E-2</v>
      </c>
      <c r="M43" s="445">
        <f t="shared" si="2"/>
        <v>104796003.13222149</v>
      </c>
      <c r="N43" s="447"/>
      <c r="O43" s="447">
        <f t="shared" si="3"/>
        <v>0</v>
      </c>
      <c r="P43" s="445">
        <f t="shared" si="4"/>
        <v>104796003.13222149</v>
      </c>
      <c r="Q43" s="445">
        <f t="shared" si="5"/>
        <v>129227203.04687195</v>
      </c>
      <c r="R43" s="445">
        <f t="shared" si="6"/>
        <v>234023206.17909342</v>
      </c>
      <c r="S43" s="449">
        <f t="shared" si="23"/>
        <v>8.1296729999999998E-2</v>
      </c>
      <c r="T43" s="450"/>
      <c r="U43" s="451">
        <v>8.1291311929428664E-2</v>
      </c>
      <c r="V43" s="451">
        <f t="shared" si="24"/>
        <v>5.4180705713335886E-6</v>
      </c>
      <c r="W43" s="423">
        <f t="shared" si="7"/>
        <v>450000</v>
      </c>
      <c r="X43" s="452">
        <f t="shared" si="8"/>
        <v>104796003.13222149</v>
      </c>
      <c r="Y43" s="422">
        <v>8.1291311929428664E-2</v>
      </c>
      <c r="Z43" s="401"/>
      <c r="AA43" s="449">
        <v>8.2555279999999995E-2</v>
      </c>
      <c r="AB43" s="420">
        <v>8.255528</v>
      </c>
      <c r="AC43" s="459">
        <f t="shared" si="28"/>
        <v>-1.2585499999999972E-3</v>
      </c>
      <c r="AD43" s="455">
        <v>34806193.479999997</v>
      </c>
      <c r="AE43" s="455">
        <f t="shared" si="29"/>
        <v>34275575.27451583</v>
      </c>
      <c r="AF43" s="455">
        <f t="shared" si="25"/>
        <v>-530618.20548416674</v>
      </c>
      <c r="AG43" s="455">
        <v>7728547.3700000001</v>
      </c>
      <c r="AH43" s="455">
        <f t="shared" si="9"/>
        <v>7610726.1519564707</v>
      </c>
      <c r="AI43" s="455">
        <f t="shared" si="10"/>
        <v>-117821.21804352943</v>
      </c>
      <c r="AJ43" s="455">
        <v>10647125.550000001</v>
      </c>
      <c r="AK43" s="455">
        <f t="shared" si="11"/>
        <v>10484810.800424056</v>
      </c>
      <c r="AL43" s="455">
        <f t="shared" si="12"/>
        <v>-162314.74957594462</v>
      </c>
      <c r="AM43" s="455">
        <v>8393120.5</v>
      </c>
      <c r="AN43" s="455">
        <f t="shared" si="13"/>
        <v>8265167.912854407</v>
      </c>
      <c r="AO43" s="455">
        <f t="shared" si="14"/>
        <v>-127952.58714559302</v>
      </c>
      <c r="AP43" s="455">
        <v>6220499.8099999996</v>
      </c>
      <c r="AQ43" s="456">
        <f t="shared" si="15"/>
        <v>6125668.6855537035</v>
      </c>
      <c r="AR43" s="456">
        <f t="shared" si="26"/>
        <v>-94831.124446296133</v>
      </c>
      <c r="AS43" s="456">
        <f t="shared" si="16"/>
        <v>67795486.709999993</v>
      </c>
      <c r="AT43" s="457">
        <f t="shared" si="33"/>
        <v>-1033537.8846955299</v>
      </c>
      <c r="AU43" s="458">
        <f t="shared" si="18"/>
        <v>61893414.541057557</v>
      </c>
      <c r="AV43" s="455"/>
      <c r="AW43" s="455">
        <f t="shared" si="19"/>
        <v>-5902072.1689424366</v>
      </c>
      <c r="AX43" s="459">
        <f t="shared" si="20"/>
        <v>-1.2585499999999972E-3</v>
      </c>
      <c r="AY43" s="460"/>
      <c r="AZ43" s="461">
        <v>61574986.899999999</v>
      </c>
      <c r="BA43" s="462"/>
      <c r="BB43" s="460">
        <f t="shared" si="21"/>
        <v>8129673</v>
      </c>
      <c r="BC43" s="460">
        <f t="shared" si="30"/>
        <v>-1033537.8846955299</v>
      </c>
      <c r="BD43" s="460">
        <f t="shared" si="27"/>
        <v>7096135.1153044701</v>
      </c>
    </row>
    <row r="44" spans="1:56" ht="15.75" x14ac:dyDescent="0.2">
      <c r="A44" s="417" t="s">
        <v>30</v>
      </c>
      <c r="B44" s="440">
        <f>'State Population'!I35</f>
        <v>382837</v>
      </c>
      <c r="C44" s="441">
        <f t="shared" si="0"/>
        <v>9.7045970907882265E-3</v>
      </c>
      <c r="D44" s="442">
        <f>'Poverty-Uninsured Population'!E33</f>
        <v>5.9071314035179208E-3</v>
      </c>
      <c r="E44" s="441">
        <f>Prevalence!J33</f>
        <v>4.8621281981737633E-3</v>
      </c>
      <c r="F44" s="442">
        <f t="shared" si="31"/>
        <v>7.5968636060842424E-3</v>
      </c>
      <c r="G44" s="443">
        <f>'Self Suff. Calc'!F35</f>
        <v>1.1366558778223337</v>
      </c>
      <c r="H44" s="442">
        <f t="shared" si="32"/>
        <v>8.0121260319986343E-3</v>
      </c>
      <c r="I44" s="442">
        <f t="shared" si="22"/>
        <v>7.6470078788228946E-3</v>
      </c>
      <c r="J44" s="442">
        <f>'Resources-new'!M35</f>
        <v>5.2297806268976638E-3</v>
      </c>
      <c r="K44" s="442">
        <f>'[1]Allocation 2021-22'!K37</f>
        <v>8.4690000000000008E-3</v>
      </c>
      <c r="L44" s="444">
        <f t="shared" si="1"/>
        <v>8.3681756834876816E-3</v>
      </c>
      <c r="M44" s="445">
        <f t="shared" si="2"/>
        <v>10786156.928245006</v>
      </c>
      <c r="N44" s="447"/>
      <c r="O44" s="447">
        <f t="shared" si="3"/>
        <v>0</v>
      </c>
      <c r="P44" s="445">
        <f t="shared" si="4"/>
        <v>10786156.928245006</v>
      </c>
      <c r="Q44" s="445">
        <f t="shared" si="5"/>
        <v>10854472.599328367</v>
      </c>
      <c r="R44" s="445">
        <f t="shared" si="6"/>
        <v>21640629.527573373</v>
      </c>
      <c r="S44" s="449">
        <f t="shared" si="23"/>
        <v>7.5176799999999997E-3</v>
      </c>
      <c r="T44" s="450"/>
      <c r="U44" s="451">
        <v>6.8280849317878759E-3</v>
      </c>
      <c r="V44" s="451">
        <f t="shared" si="24"/>
        <v>6.8959506821212376E-4</v>
      </c>
      <c r="W44" s="423">
        <f t="shared" si="7"/>
        <v>450000</v>
      </c>
      <c r="X44" s="452">
        <f t="shared" si="8"/>
        <v>10786156.928245006</v>
      </c>
      <c r="Y44" s="422">
        <v>6.8280849317878759E-3</v>
      </c>
      <c r="Z44" s="401"/>
      <c r="AA44" s="449">
        <v>7.11424E-3</v>
      </c>
      <c r="AB44" s="420">
        <v>0.71142399999999995</v>
      </c>
      <c r="AC44" s="459">
        <f t="shared" si="28"/>
        <v>4.034399999999997E-4</v>
      </c>
      <c r="AD44" s="455">
        <v>2999440.06</v>
      </c>
      <c r="AE44" s="455">
        <f t="shared" si="29"/>
        <v>3169534.6999777504</v>
      </c>
      <c r="AF44" s="455">
        <f t="shared" si="25"/>
        <v>170094.63997775037</v>
      </c>
      <c r="AG44" s="455">
        <v>666011.19999999995</v>
      </c>
      <c r="AH44" s="455">
        <f t="shared" si="9"/>
        <v>703779.89099979936</v>
      </c>
      <c r="AI44" s="455">
        <f t="shared" si="10"/>
        <v>37768.690999799408</v>
      </c>
      <c r="AJ44" s="455">
        <v>917521.04</v>
      </c>
      <c r="AK44" s="455">
        <f t="shared" si="11"/>
        <v>969552.55713399441</v>
      </c>
      <c r="AL44" s="455">
        <f t="shared" si="12"/>
        <v>52031.517133994377</v>
      </c>
      <c r="AM44" s="455">
        <v>723281.1</v>
      </c>
      <c r="AN44" s="455">
        <f t="shared" si="13"/>
        <v>764297.50022057851</v>
      </c>
      <c r="AO44" s="455">
        <f t="shared" si="14"/>
        <v>41016.400220578536</v>
      </c>
      <c r="AP44" s="455">
        <v>536054.49</v>
      </c>
      <c r="AQ44" s="456">
        <f t="shared" si="15"/>
        <v>566453.49651841307</v>
      </c>
      <c r="AR44" s="456">
        <f t="shared" si="26"/>
        <v>30399.00651841308</v>
      </c>
      <c r="AS44" s="456">
        <f t="shared" si="16"/>
        <v>5842307.8899999997</v>
      </c>
      <c r="AT44" s="457">
        <f t="shared" si="33"/>
        <v>331310.25485053577</v>
      </c>
      <c r="AU44" s="458">
        <f t="shared" si="18"/>
        <v>5723414.5165127497</v>
      </c>
      <c r="AV44" s="455"/>
      <c r="AW44" s="455">
        <f t="shared" si="19"/>
        <v>-118893.37348724995</v>
      </c>
      <c r="AX44" s="459">
        <f t="shared" si="20"/>
        <v>4.034399999999997E-4</v>
      </c>
      <c r="AY44" s="460"/>
      <c r="AZ44" s="461">
        <v>5306253.4000000004</v>
      </c>
      <c r="BA44" s="462"/>
      <c r="BB44" s="460">
        <f t="shared" si="21"/>
        <v>751768</v>
      </c>
      <c r="BC44" s="460">
        <f t="shared" si="30"/>
        <v>331310.25485053577</v>
      </c>
      <c r="BD44" s="460">
        <f t="shared" si="27"/>
        <v>1083078.2548505357</v>
      </c>
    </row>
    <row r="45" spans="1:56" ht="15.75" x14ac:dyDescent="0.2">
      <c r="A45" s="417" t="s">
        <v>31</v>
      </c>
      <c r="B45" s="440">
        <f>'State Population'!I36</f>
        <v>19819</v>
      </c>
      <c r="C45" s="441">
        <f t="shared" si="0"/>
        <v>5.023950395137666E-4</v>
      </c>
      <c r="D45" s="442">
        <f>'Poverty-Uninsured Population'!E34</f>
        <v>5.4094417075253745E-4</v>
      </c>
      <c r="E45" s="441">
        <f>Prevalence!J34</f>
        <v>4.5023053973420127E-4</v>
      </c>
      <c r="F45" s="442">
        <f t="shared" si="31"/>
        <v>5.0352687892948477E-4</v>
      </c>
      <c r="G45" s="443">
        <f>'Self Suff. Calc'!F36</f>
        <v>0.89442933035319716</v>
      </c>
      <c r="H45" s="442">
        <f t="shared" si="32"/>
        <v>4.8226381101198465E-4</v>
      </c>
      <c r="I45" s="442">
        <f t="shared" si="22"/>
        <v>4.6028671388233982E-4</v>
      </c>
      <c r="J45" s="442">
        <f>'Resources-new'!M36</f>
        <v>1.1682427173593385E-3</v>
      </c>
      <c r="K45" s="442">
        <f>'[1]Allocation 2021-22'!K38</f>
        <v>2.9799999999999998E-4</v>
      </c>
      <c r="L45" s="444">
        <f t="shared" si="1"/>
        <v>2.9445227933396254E-4</v>
      </c>
      <c r="M45" s="445">
        <f t="shared" si="2"/>
        <v>379534.15569925745</v>
      </c>
      <c r="N45" s="447"/>
      <c r="O45" s="447">
        <f t="shared" si="3"/>
        <v>0</v>
      </c>
      <c r="P45" s="445">
        <f t="shared" ref="P45:P70" si="34">M45+N45-O45</f>
        <v>379534.15569925745</v>
      </c>
      <c r="Q45" s="445">
        <f t="shared" si="5"/>
        <v>2277144.9794886452</v>
      </c>
      <c r="R45" s="445">
        <f t="shared" ref="R45:R70" si="35">P45+Q45</f>
        <v>2656679.1351879025</v>
      </c>
      <c r="S45" s="449">
        <f t="shared" si="23"/>
        <v>9.2290000000000004E-4</v>
      </c>
      <c r="T45" s="450"/>
      <c r="U45" s="451">
        <v>1.4324546107293056E-3</v>
      </c>
      <c r="V45" s="451">
        <f t="shared" si="24"/>
        <v>-5.0955461072930551E-4</v>
      </c>
      <c r="W45" s="423">
        <f t="shared" ref="W45:W70" si="36">IF(B45&lt;20000,250000+100000,350000+100000)</f>
        <v>350000</v>
      </c>
      <c r="X45" s="452">
        <f t="shared" ref="X45:X70" si="37">IF(N45=0,M45,0)</f>
        <v>379534.15569925745</v>
      </c>
      <c r="Y45" s="422">
        <v>1.4324546107293056E-3</v>
      </c>
      <c r="Z45" s="401"/>
      <c r="AA45" s="449">
        <v>1.2402800000000001E-3</v>
      </c>
      <c r="AB45" s="420">
        <v>0.124028</v>
      </c>
      <c r="AC45" s="459">
        <f t="shared" si="28"/>
        <v>-3.1738000000000003E-4</v>
      </c>
      <c r="AD45" s="455">
        <v>522915.38</v>
      </c>
      <c r="AE45" s="455">
        <f t="shared" si="29"/>
        <v>389104.56079661095</v>
      </c>
      <c r="AF45" s="455">
        <f t="shared" si="25"/>
        <v>-133810.81920338905</v>
      </c>
      <c r="AG45" s="455">
        <v>116110.84</v>
      </c>
      <c r="AH45" s="455">
        <f t="shared" si="9"/>
        <v>86398.790771051034</v>
      </c>
      <c r="AI45" s="455">
        <f t="shared" si="10"/>
        <v>-29712.049228948963</v>
      </c>
      <c r="AJ45" s="455">
        <v>159958.48000000001</v>
      </c>
      <c r="AK45" s="455">
        <f t="shared" si="11"/>
        <v>119026.08982810701</v>
      </c>
      <c r="AL45" s="455">
        <f t="shared" si="12"/>
        <v>-40932.390171892999</v>
      </c>
      <c r="AM45" s="455">
        <v>126095.14</v>
      </c>
      <c r="AN45" s="455">
        <f t="shared" si="13"/>
        <v>93828.170785877024</v>
      </c>
      <c r="AO45" s="455">
        <f t="shared" si="14"/>
        <v>-32266.969214122975</v>
      </c>
      <c r="AP45" s="455">
        <v>93454.49</v>
      </c>
      <c r="AQ45" s="456">
        <f t="shared" si="15"/>
        <v>69540.061819184033</v>
      </c>
      <c r="AR45" s="456">
        <f t="shared" si="26"/>
        <v>-23914.428180815972</v>
      </c>
      <c r="AS45" s="456">
        <f t="shared" si="16"/>
        <v>1018534.33</v>
      </c>
      <c r="AT45" s="457">
        <f t="shared" si="33"/>
        <v>-260636.65599916995</v>
      </c>
      <c r="AU45" s="458">
        <f t="shared" si="18"/>
        <v>702628.90376946307</v>
      </c>
      <c r="AV45" s="455"/>
      <c r="AW45" s="455">
        <f t="shared" si="19"/>
        <v>-315905.42623053689</v>
      </c>
      <c r="AX45" s="459">
        <f t="shared" si="20"/>
        <v>-3.1738000000000003E-4</v>
      </c>
      <c r="AY45" s="460"/>
      <c r="AZ45" s="461">
        <v>925079.84</v>
      </c>
      <c r="BA45" s="462"/>
      <c r="BB45" s="460">
        <f t="shared" si="21"/>
        <v>92290</v>
      </c>
      <c r="BC45" s="460">
        <f t="shared" si="30"/>
        <v>-260636.65599916995</v>
      </c>
      <c r="BD45" s="460">
        <f t="shared" si="27"/>
        <v>-168346.65599916995</v>
      </c>
    </row>
    <row r="46" spans="1:56" ht="15.75" x14ac:dyDescent="0.2">
      <c r="A46" s="417" t="s">
        <v>32</v>
      </c>
      <c r="B46" s="440">
        <f>'State Population'!I37</f>
        <v>2384783</v>
      </c>
      <c r="C46" s="441">
        <f t="shared" ref="C46:C70" si="38">B46/$B$73</f>
        <v>6.0452250341427864E-2</v>
      </c>
      <c r="D46" s="442">
        <f>'Poverty-Uninsured Population'!E35</f>
        <v>6.462675514235422E-2</v>
      </c>
      <c r="E46" s="441">
        <f>Prevalence!J35</f>
        <v>6.3114546605189406E-2</v>
      </c>
      <c r="F46" s="442">
        <f t="shared" si="31"/>
        <v>6.2237061034458072E-2</v>
      </c>
      <c r="G46" s="443">
        <f>'Self Suff. Calc'!F37</f>
        <v>1.0303831369247987</v>
      </c>
      <c r="H46" s="442">
        <f t="shared" si="32"/>
        <v>6.299344389334087E-2</v>
      </c>
      <c r="I46" s="442">
        <f t="shared" si="22"/>
        <v>6.012278886312053E-2</v>
      </c>
      <c r="J46" s="442">
        <f>'Resources-new'!M37</f>
        <v>3.9019185211273254E-2</v>
      </c>
      <c r="K46" s="442">
        <f>'[1]Allocation 2021-22'!K39</f>
        <v>6.2517000000000003E-2</v>
      </c>
      <c r="L46" s="444">
        <f t="shared" ref="L46:L72" si="39">(K46/K$73)</f>
        <v>6.1772728681615235E-2</v>
      </c>
      <c r="M46" s="445">
        <f t="shared" ref="M46:M72" si="40">L46*$M$77</f>
        <v>79621935.610236526</v>
      </c>
      <c r="N46" s="447"/>
      <c r="O46" s="447">
        <f t="shared" ref="O46:O72" si="41">IF(N46=0,(X46/X$73)*N$73,0)</f>
        <v>0</v>
      </c>
      <c r="P46" s="445">
        <f t="shared" si="34"/>
        <v>79621935.610236526</v>
      </c>
      <c r="Q46" s="445">
        <f t="shared" ref="Q46:Q72" si="42">U46*$M$76</f>
        <v>82887425.009926751</v>
      </c>
      <c r="R46" s="445">
        <f t="shared" si="35"/>
        <v>162509360.62016326</v>
      </c>
      <c r="S46" s="449">
        <f t="shared" si="23"/>
        <v>5.6453719999999999E-2</v>
      </c>
      <c r="T46" s="450"/>
      <c r="U46" s="451">
        <v>5.2140937532054572E-2</v>
      </c>
      <c r="V46" s="451">
        <f t="shared" si="24"/>
        <v>4.3127824679454266E-3</v>
      </c>
      <c r="W46" s="423">
        <f t="shared" si="36"/>
        <v>450000</v>
      </c>
      <c r="X46" s="452">
        <f t="shared" si="37"/>
        <v>79621935.610236526</v>
      </c>
      <c r="Y46" s="422">
        <v>5.2140937532054572E-2</v>
      </c>
      <c r="Z46" s="401"/>
      <c r="AA46" s="449">
        <v>5.39141E-2</v>
      </c>
      <c r="AB46" s="465">
        <v>5.3914099999999996</v>
      </c>
      <c r="AC46" s="459">
        <f t="shared" si="28"/>
        <v>2.5396199999999994E-3</v>
      </c>
      <c r="AD46" s="455">
        <v>22730764.109999999</v>
      </c>
      <c r="AE46" s="455">
        <f t="shared" si="29"/>
        <v>23801495.206343971</v>
      </c>
      <c r="AF46" s="455">
        <f t="shared" si="25"/>
        <v>1070731.0963439718</v>
      </c>
      <c r="AG46" s="455">
        <v>5047256.5199999996</v>
      </c>
      <c r="AH46" s="455">
        <f t="shared" ref="AH46:AH73" si="43">S46*$AG$73</f>
        <v>5285007.1974509684</v>
      </c>
      <c r="AI46" s="455">
        <f t="shared" ref="AI46:AI73" si="44">AH46-AG46</f>
        <v>237750.67745096888</v>
      </c>
      <c r="AJ46" s="455">
        <v>6953282.5999999996</v>
      </c>
      <c r="AK46" s="455">
        <f t="shared" ref="AK46:AK73" si="45">S46*$AJ$73</f>
        <v>7280816.500000868</v>
      </c>
      <c r="AL46" s="455">
        <f t="shared" ref="AL46:AL73" si="46">AK46-AJ46</f>
        <v>327533.90000086837</v>
      </c>
      <c r="AM46" s="455">
        <v>5481267.0700000003</v>
      </c>
      <c r="AN46" s="455">
        <f t="shared" ref="AN46:AN73" si="47">S46*$AM$73</f>
        <v>5739461.7853051051</v>
      </c>
      <c r="AO46" s="455">
        <f t="shared" ref="AO46:AO73" si="48">AN46-AM46</f>
        <v>258194.71530510485</v>
      </c>
      <c r="AP46" s="455">
        <v>4062400.96</v>
      </c>
      <c r="AQ46" s="456">
        <f t="shared" ref="AQ46:AQ73" si="49">S46*$AP$73</f>
        <v>4253760.0809653336</v>
      </c>
      <c r="AR46" s="456">
        <f t="shared" si="26"/>
        <v>191359.12096533366</v>
      </c>
      <c r="AS46" s="456">
        <f t="shared" ref="AS46:AS73" si="50">AD46+AG46+AJ46+AM46+AP46</f>
        <v>44274971.259999998</v>
      </c>
      <c r="AT46" s="457">
        <f t="shared" si="33"/>
        <v>2085569.5100662475</v>
      </c>
      <c r="AU46" s="458">
        <f t="shared" ref="AU46:AU72" si="51">$AU$75*S46</f>
        <v>42979754.466690011</v>
      </c>
      <c r="AV46" s="455"/>
      <c r="AW46" s="455">
        <f t="shared" ref="AW46:AW73" si="52">AU46-AS46</f>
        <v>-1295216.7933099866</v>
      </c>
      <c r="AX46" s="459">
        <f t="shared" ref="AX46:AX72" si="53">S46-AA46</f>
        <v>2.5396199999999994E-3</v>
      </c>
      <c r="AY46" s="460"/>
      <c r="AZ46" s="461">
        <v>40212570.299999997</v>
      </c>
      <c r="BA46" s="462"/>
      <c r="BB46" s="460">
        <f t="shared" ref="BB46:BB72" si="54">S46*$BB$73</f>
        <v>5645372</v>
      </c>
      <c r="BC46" s="460">
        <f t="shared" si="30"/>
        <v>2085569.5100662475</v>
      </c>
      <c r="BD46" s="460">
        <f t="shared" si="27"/>
        <v>7730941.5100662475</v>
      </c>
    </row>
    <row r="47" spans="1:56" ht="15.75" x14ac:dyDescent="0.2">
      <c r="A47" s="417" t="s">
        <v>33</v>
      </c>
      <c r="B47" s="440">
        <f>'State Population'!I38</f>
        <v>1514770</v>
      </c>
      <c r="C47" s="441">
        <f t="shared" si="38"/>
        <v>3.8398149957327224E-2</v>
      </c>
      <c r="D47" s="442">
        <f>'Poverty-Uninsured Population'!E36</f>
        <v>4.0078281172867776E-2</v>
      </c>
      <c r="E47" s="441">
        <f>Prevalence!J36</f>
        <v>3.9238766838441373E-2</v>
      </c>
      <c r="F47" s="442">
        <f t="shared" si="31"/>
        <v>3.907031269821222E-2</v>
      </c>
      <c r="G47" s="443">
        <f>'Self Suff. Calc'!F38</f>
        <v>0.97693049078750616</v>
      </c>
      <c r="H47" s="442">
        <f t="shared" si="32"/>
        <v>3.8709779522721657E-2</v>
      </c>
      <c r="I47" s="442">
        <f t="shared" ref="I47:I70" si="55">(H47/H$73)</f>
        <v>3.6945747959472454E-2</v>
      </c>
      <c r="J47" s="442">
        <f>'Resources-new'!M38</f>
        <v>4.0362905500949384E-2</v>
      </c>
      <c r="K47" s="442">
        <f>'[1]Allocation 2021-22'!K40</f>
        <v>3.6894000000000003E-2</v>
      </c>
      <c r="L47" s="444">
        <f t="shared" si="39"/>
        <v>3.6454773133379921E-2</v>
      </c>
      <c r="M47" s="445">
        <f t="shared" si="40"/>
        <v>46988366.242847003</v>
      </c>
      <c r="N47" s="447"/>
      <c r="O47" s="447">
        <f t="shared" si="41"/>
        <v>0</v>
      </c>
      <c r="P47" s="445">
        <f t="shared" si="34"/>
        <v>46988366.242847003</v>
      </c>
      <c r="Q47" s="445">
        <f t="shared" si="42"/>
        <v>51088762.668712266</v>
      </c>
      <c r="R47" s="445">
        <f t="shared" si="35"/>
        <v>98077128.911559269</v>
      </c>
      <c r="S47" s="449">
        <f t="shared" si="23"/>
        <v>3.407077E-2</v>
      </c>
      <c r="T47" s="450"/>
      <c r="U47" s="451">
        <v>3.2137757718740383E-2</v>
      </c>
      <c r="V47" s="451">
        <f t="shared" si="24"/>
        <v>1.9330122812596176E-3</v>
      </c>
      <c r="W47" s="423">
        <f t="shared" si="36"/>
        <v>450000</v>
      </c>
      <c r="X47" s="452">
        <f t="shared" si="37"/>
        <v>46988366.242847003</v>
      </c>
      <c r="Y47" s="422">
        <v>3.2137757718740383E-2</v>
      </c>
      <c r="Z47" s="401"/>
      <c r="AA47" s="449">
        <v>3.298649E-2</v>
      </c>
      <c r="AB47" s="420">
        <v>3.2986490000000002</v>
      </c>
      <c r="AC47" s="459">
        <f t="shared" si="28"/>
        <v>1.08428E-3</v>
      </c>
      <c r="AD47" s="455">
        <v>13907458.779999999</v>
      </c>
      <c r="AE47" s="455">
        <f t="shared" si="29"/>
        <v>14364602.878808482</v>
      </c>
      <c r="AF47" s="455">
        <f t="shared" si="25"/>
        <v>457144.09880848229</v>
      </c>
      <c r="AG47" s="455">
        <v>3088084.13</v>
      </c>
      <c r="AH47" s="455">
        <f t="shared" si="43"/>
        <v>3189590.7775908574</v>
      </c>
      <c r="AI47" s="455">
        <f t="shared" si="44"/>
        <v>101506.64759085746</v>
      </c>
      <c r="AJ47" s="455">
        <v>4254256.0599999996</v>
      </c>
      <c r="AK47" s="455">
        <f t="shared" si="45"/>
        <v>4394095.2763384692</v>
      </c>
      <c r="AL47" s="455">
        <f t="shared" si="46"/>
        <v>139839.21633846965</v>
      </c>
      <c r="AM47" s="455">
        <v>3353626.63</v>
      </c>
      <c r="AN47" s="455">
        <f t="shared" si="47"/>
        <v>3463861.7687358712</v>
      </c>
      <c r="AO47" s="455">
        <f t="shared" si="48"/>
        <v>110235.1387358713</v>
      </c>
      <c r="AP47" s="455">
        <v>2485515.8199999998</v>
      </c>
      <c r="AQ47" s="456">
        <f t="shared" si="49"/>
        <v>2567215.7893891004</v>
      </c>
      <c r="AR47" s="456">
        <f t="shared" si="26"/>
        <v>81699.969389100559</v>
      </c>
      <c r="AS47" s="456">
        <f t="shared" si="50"/>
        <v>27088941.419999998</v>
      </c>
      <c r="AT47" s="457">
        <f t="shared" si="33"/>
        <v>890425.07086278126</v>
      </c>
      <c r="AU47" s="458">
        <f t="shared" si="51"/>
        <v>25939005.066292673</v>
      </c>
      <c r="AV47" s="455"/>
      <c r="AW47" s="455">
        <f t="shared" si="52"/>
        <v>-1149936.3537073247</v>
      </c>
      <c r="AX47" s="459">
        <f t="shared" si="53"/>
        <v>1.08428E-3</v>
      </c>
      <c r="AY47" s="460"/>
      <c r="AZ47" s="461">
        <v>24603425.600000001</v>
      </c>
      <c r="BA47" s="462"/>
      <c r="BB47" s="460">
        <f t="shared" si="54"/>
        <v>3407077</v>
      </c>
      <c r="BC47" s="460">
        <f t="shared" si="30"/>
        <v>890425.07086278126</v>
      </c>
      <c r="BD47" s="460">
        <f t="shared" si="27"/>
        <v>4297502.0708627813</v>
      </c>
    </row>
    <row r="48" spans="1:56" ht="15.75" x14ac:dyDescent="0.2">
      <c r="A48" s="417" t="s">
        <v>34</v>
      </c>
      <c r="B48" s="440">
        <f>'State Population'!I39</f>
        <v>56854</v>
      </c>
      <c r="C48" s="441">
        <f t="shared" si="38"/>
        <v>1.4412012501395471E-3</v>
      </c>
      <c r="D48" s="442">
        <f>'Poverty-Uninsured Population'!E37</f>
        <v>1.3654488937101508E-3</v>
      </c>
      <c r="E48" s="441">
        <f>Prevalence!J37</f>
        <v>1.2846939698038151E-3</v>
      </c>
      <c r="F48" s="442">
        <f t="shared" si="31"/>
        <v>1.3871740871435818E-3</v>
      </c>
      <c r="G48" s="443">
        <f>'Self Suff. Calc'!F39</f>
        <v>1.0977262403565604</v>
      </c>
      <c r="H48" s="442">
        <f t="shared" si="32"/>
        <v>1.441399410446216E-3</v>
      </c>
      <c r="I48" s="442">
        <f t="shared" si="55"/>
        <v>1.3757138372751407E-3</v>
      </c>
      <c r="J48" s="442">
        <f>'Resources-new'!M39</f>
        <v>1.3812260629820728E-3</v>
      </c>
      <c r="K48" s="442">
        <f>'[1]Allocation 2021-22'!K41</f>
        <v>1.4920000000000001E-3</v>
      </c>
      <c r="L48" s="444">
        <f t="shared" si="39"/>
        <v>1.4742375864640006E-3</v>
      </c>
      <c r="M48" s="445">
        <f t="shared" si="40"/>
        <v>1900217.9875949402</v>
      </c>
      <c r="N48" s="447"/>
      <c r="O48" s="447">
        <f t="shared" si="41"/>
        <v>0</v>
      </c>
      <c r="P48" s="445">
        <f t="shared" si="34"/>
        <v>1900217.9875949402</v>
      </c>
      <c r="Q48" s="445">
        <f t="shared" si="42"/>
        <v>3177893.1976551521</v>
      </c>
      <c r="R48" s="445">
        <f t="shared" si="35"/>
        <v>5078111.1852500923</v>
      </c>
      <c r="S48" s="449">
        <f t="shared" si="23"/>
        <v>1.76407E-3</v>
      </c>
      <c r="T48" s="450"/>
      <c r="U48" s="451">
        <v>1.9990768283926555E-3</v>
      </c>
      <c r="V48" s="451">
        <f t="shared" si="24"/>
        <v>-2.3500682839265553E-4</v>
      </c>
      <c r="W48" s="423">
        <f t="shared" si="36"/>
        <v>450000</v>
      </c>
      <c r="X48" s="452">
        <f t="shared" si="37"/>
        <v>1900217.9875949402</v>
      </c>
      <c r="Y48" s="422">
        <v>1.9990768283926555E-3</v>
      </c>
      <c r="Z48" s="401"/>
      <c r="AA48" s="449">
        <v>1.82887E-3</v>
      </c>
      <c r="AB48" s="420">
        <v>0.18288699999999999</v>
      </c>
      <c r="AC48" s="459">
        <f t="shared" si="28"/>
        <v>-6.4800000000000057E-5</v>
      </c>
      <c r="AD48" s="455">
        <v>771071.25</v>
      </c>
      <c r="AE48" s="455">
        <f t="shared" si="29"/>
        <v>743750.87502923119</v>
      </c>
      <c r="AF48" s="455">
        <f t="shared" si="25"/>
        <v>-27320.374970768811</v>
      </c>
      <c r="AG48" s="455">
        <v>171212.65</v>
      </c>
      <c r="AH48" s="455">
        <f t="shared" si="43"/>
        <v>165146.29411148335</v>
      </c>
      <c r="AI48" s="455">
        <f t="shared" si="44"/>
        <v>-6066.3558885166422</v>
      </c>
      <c r="AJ48" s="455">
        <v>235868.72</v>
      </c>
      <c r="AK48" s="455">
        <f t="shared" si="45"/>
        <v>227511.49017560811</v>
      </c>
      <c r="AL48" s="455">
        <f t="shared" si="46"/>
        <v>-8357.2298243918922</v>
      </c>
      <c r="AM48" s="455">
        <v>185935.12</v>
      </c>
      <c r="AN48" s="455">
        <f t="shared" si="47"/>
        <v>179347.12454029915</v>
      </c>
      <c r="AO48" s="455">
        <f t="shared" si="48"/>
        <v>-6587.9954597008473</v>
      </c>
      <c r="AP48" s="455">
        <v>137804.46</v>
      </c>
      <c r="AQ48" s="456">
        <f t="shared" si="49"/>
        <v>132921.80827106728</v>
      </c>
      <c r="AR48" s="456">
        <f t="shared" si="26"/>
        <v>-4882.6517289327167</v>
      </c>
      <c r="AS48" s="456">
        <f t="shared" si="50"/>
        <v>1501892.2000000002</v>
      </c>
      <c r="AT48" s="457">
        <f t="shared" si="33"/>
        <v>-53214.607872310909</v>
      </c>
      <c r="AU48" s="458">
        <f t="shared" si="51"/>
        <v>1343034.5327474228</v>
      </c>
      <c r="AV48" s="455"/>
      <c r="AW48" s="455">
        <f t="shared" si="52"/>
        <v>-158857.66725257738</v>
      </c>
      <c r="AX48" s="459">
        <f t="shared" si="53"/>
        <v>-6.4800000000000057E-5</v>
      </c>
      <c r="AY48" s="460"/>
      <c r="AZ48" s="461">
        <v>1364087.74</v>
      </c>
      <c r="BA48" s="462"/>
      <c r="BB48" s="460">
        <f t="shared" si="54"/>
        <v>176407</v>
      </c>
      <c r="BC48" s="460">
        <f t="shared" si="30"/>
        <v>-53214.607872310909</v>
      </c>
      <c r="BD48" s="460">
        <f t="shared" si="27"/>
        <v>123192.39212768909</v>
      </c>
    </row>
    <row r="49" spans="1:56" ht="15.75" x14ac:dyDescent="0.2">
      <c r="A49" s="417" t="s">
        <v>35</v>
      </c>
      <c r="B49" s="440">
        <f>'State Population'!I40</f>
        <v>2160256</v>
      </c>
      <c r="C49" s="441">
        <f t="shared" si="38"/>
        <v>5.4760679069572195E-2</v>
      </c>
      <c r="D49" s="442">
        <f>'Poverty-Uninsured Population'!E38</f>
        <v>6.3426034448079441E-2</v>
      </c>
      <c r="E49" s="441">
        <f>Prevalence!J38</f>
        <v>6.2496157671096647E-2</v>
      </c>
      <c r="F49" s="442">
        <f t="shared" si="31"/>
        <v>5.8907381403429257E-2</v>
      </c>
      <c r="G49" s="443">
        <f>'Self Suff. Calc'!F40</f>
        <v>0.98125891902257356</v>
      </c>
      <c r="H49" s="442">
        <f t="shared" si="32"/>
        <v>5.8465786201409332E-2</v>
      </c>
      <c r="I49" s="442">
        <f t="shared" si="55"/>
        <v>5.5801459679763091E-2</v>
      </c>
      <c r="J49" s="442">
        <f>'Resources-new'!M40</f>
        <v>4.5811781575791688E-2</v>
      </c>
      <c r="K49" s="442">
        <f>'[1]Allocation 2021-22'!K42</f>
        <v>5.4404000000000001E-2</v>
      </c>
      <c r="L49" s="444">
        <f t="shared" si="39"/>
        <v>5.3756314781492953E-2</v>
      </c>
      <c r="M49" s="445">
        <f t="shared" si="40"/>
        <v>69289181.901551694</v>
      </c>
      <c r="N49" s="447"/>
      <c r="O49" s="447">
        <f t="shared" si="41"/>
        <v>0</v>
      </c>
      <c r="P49" s="445">
        <f t="shared" si="34"/>
        <v>69289181.901551694</v>
      </c>
      <c r="Q49" s="445">
        <f t="shared" si="42"/>
        <v>83894325.851197243</v>
      </c>
      <c r="R49" s="445">
        <f t="shared" si="35"/>
        <v>153183507.75274894</v>
      </c>
      <c r="S49" s="449">
        <f t="shared" si="23"/>
        <v>5.3214030000000002E-2</v>
      </c>
      <c r="T49" s="450"/>
      <c r="U49" s="451">
        <v>5.277433582931583E-2</v>
      </c>
      <c r="V49" s="451">
        <f t="shared" si="24"/>
        <v>4.3969417068417255E-4</v>
      </c>
      <c r="W49" s="423">
        <f t="shared" si="36"/>
        <v>450000</v>
      </c>
      <c r="X49" s="452">
        <f t="shared" si="37"/>
        <v>69289181.901551694</v>
      </c>
      <c r="Y49" s="422">
        <v>5.277433582931583E-2</v>
      </c>
      <c r="Z49" s="401"/>
      <c r="AA49" s="449">
        <v>5.2812709999999999E-2</v>
      </c>
      <c r="AB49" s="420">
        <v>5.2812710000000003</v>
      </c>
      <c r="AC49" s="459">
        <f t="shared" si="28"/>
        <v>4.0132000000000362E-4</v>
      </c>
      <c r="AD49" s="455">
        <v>22266406.25</v>
      </c>
      <c r="AE49" s="455">
        <f t="shared" ref="AE49:AE73" si="56">S49*$AD$73</f>
        <v>22435607.077004746</v>
      </c>
      <c r="AF49" s="455">
        <f t="shared" si="25"/>
        <v>169200.8270047456</v>
      </c>
      <c r="AG49" s="455">
        <v>4944148.0999999996</v>
      </c>
      <c r="AH49" s="455">
        <f t="shared" si="43"/>
        <v>4981718.3270716574</v>
      </c>
      <c r="AI49" s="455">
        <f t="shared" si="44"/>
        <v>37570.227071657777</v>
      </c>
      <c r="AJ49" s="455">
        <v>6811236.7199999997</v>
      </c>
      <c r="AK49" s="455">
        <f t="shared" si="45"/>
        <v>6862994.8151431158</v>
      </c>
      <c r="AL49" s="455">
        <f t="shared" si="46"/>
        <v>51758.095143116079</v>
      </c>
      <c r="AM49" s="455">
        <v>5369292.4199999999</v>
      </c>
      <c r="AN49" s="455">
        <f t="shared" si="47"/>
        <v>5410093.287511955</v>
      </c>
      <c r="AO49" s="455">
        <f t="shared" si="48"/>
        <v>40800.86751195509</v>
      </c>
      <c r="AP49" s="455">
        <v>3979411.77</v>
      </c>
      <c r="AQ49" s="456">
        <f t="shared" si="49"/>
        <v>4009651.0302827111</v>
      </c>
      <c r="AR49" s="456">
        <f t="shared" si="26"/>
        <v>30239.260282711126</v>
      </c>
      <c r="AS49" s="456">
        <f t="shared" si="50"/>
        <v>43370495.260000005</v>
      </c>
      <c r="AT49" s="457">
        <f t="shared" si="33"/>
        <v>329569.27701418567</v>
      </c>
      <c r="AU49" s="458">
        <f t="shared" si="51"/>
        <v>40513290.241689585</v>
      </c>
      <c r="AV49" s="455"/>
      <c r="AW49" s="455">
        <f t="shared" si="52"/>
        <v>-2857205.0183104202</v>
      </c>
      <c r="AX49" s="459">
        <f t="shared" si="53"/>
        <v>4.0132000000000362E-4</v>
      </c>
      <c r="AY49" s="460"/>
      <c r="AZ49" s="461">
        <v>39391083.490000002</v>
      </c>
      <c r="BA49" s="462"/>
      <c r="BB49" s="460">
        <f t="shared" si="54"/>
        <v>5321403</v>
      </c>
      <c r="BC49" s="460">
        <f t="shared" si="30"/>
        <v>329569.27701418567</v>
      </c>
      <c r="BD49" s="460">
        <f t="shared" si="27"/>
        <v>5650972.2770141857</v>
      </c>
    </row>
    <row r="50" spans="1:56" ht="15.75" x14ac:dyDescent="0.2">
      <c r="A50" s="417" t="s">
        <v>36</v>
      </c>
      <c r="B50" s="440">
        <f>'State Population'!I41</f>
        <v>3316192</v>
      </c>
      <c r="C50" s="441">
        <f t="shared" si="38"/>
        <v>8.4062687868976069E-2</v>
      </c>
      <c r="D50" s="442">
        <f>'Poverty-Uninsured Population'!E39</f>
        <v>7.5567193429765811E-2</v>
      </c>
      <c r="E50" s="441">
        <f>Prevalence!J39</f>
        <v>7.6576258927764221E-2</v>
      </c>
      <c r="F50" s="442">
        <f t="shared" si="31"/>
        <v>8.0016753748970632E-2</v>
      </c>
      <c r="G50" s="443">
        <f>'Self Suff. Calc'!F41</f>
        <v>1.1438410045138312</v>
      </c>
      <c r="H50" s="442">
        <f t="shared" si="32"/>
        <v>8.4620629843845746E-2</v>
      </c>
      <c r="I50" s="442">
        <f t="shared" si="55"/>
        <v>8.0764408914998767E-2</v>
      </c>
      <c r="J50" s="442">
        <f>'Resources-new'!M41</f>
        <v>6.8969119608601095E-2</v>
      </c>
      <c r="K50" s="442">
        <f>'[1]Allocation 2021-22'!K43</f>
        <v>8.4172999999999998E-2</v>
      </c>
      <c r="L50" s="444">
        <f t="shared" si="39"/>
        <v>8.3170911773079295E-2</v>
      </c>
      <c r="M50" s="445">
        <f t="shared" si="40"/>
        <v>107203115.73044832</v>
      </c>
      <c r="N50" s="447"/>
      <c r="O50" s="447">
        <f t="shared" si="41"/>
        <v>0</v>
      </c>
      <c r="P50" s="445">
        <f t="shared" si="34"/>
        <v>107203115.73044832</v>
      </c>
      <c r="Q50" s="445">
        <f t="shared" si="42"/>
        <v>130287098.66926193</v>
      </c>
      <c r="R50" s="445">
        <f t="shared" si="35"/>
        <v>237490214.39971024</v>
      </c>
      <c r="S50" s="449">
        <f t="shared" si="23"/>
        <v>8.2501130000000006E-2</v>
      </c>
      <c r="T50" s="450"/>
      <c r="U50" s="451">
        <v>8.1958046979177357E-2</v>
      </c>
      <c r="V50" s="451">
        <f t="shared" si="24"/>
        <v>5.4308302082264892E-4</v>
      </c>
      <c r="W50" s="423">
        <f t="shared" si="36"/>
        <v>450000</v>
      </c>
      <c r="X50" s="452">
        <f t="shared" si="37"/>
        <v>107203115.73044832</v>
      </c>
      <c r="Y50" s="422">
        <v>8.1958046979177357E-2</v>
      </c>
      <c r="Z50" s="401"/>
      <c r="AA50" s="449">
        <v>8.1690810000000003E-2</v>
      </c>
      <c r="AB50" s="420">
        <v>8.1690810000000003</v>
      </c>
      <c r="AC50" s="459">
        <f t="shared" si="28"/>
        <v>8.1032000000000326E-4</v>
      </c>
      <c r="AD50" s="455">
        <v>34441723.640000001</v>
      </c>
      <c r="AE50" s="455">
        <f t="shared" si="56"/>
        <v>34783363.261322029</v>
      </c>
      <c r="AF50" s="455">
        <f t="shared" si="25"/>
        <v>341639.62132202834</v>
      </c>
      <c r="AG50" s="455">
        <v>7647618.5899999999</v>
      </c>
      <c r="AH50" s="455">
        <f t="shared" si="43"/>
        <v>7723478.0249705072</v>
      </c>
      <c r="AI50" s="455">
        <f t="shared" si="44"/>
        <v>75859.434970507398</v>
      </c>
      <c r="AJ50" s="455">
        <v>10535635.16</v>
      </c>
      <c r="AK50" s="455">
        <f t="shared" si="45"/>
        <v>10640141.846679309</v>
      </c>
      <c r="AL50" s="455">
        <f t="shared" si="46"/>
        <v>104506.68667930923</v>
      </c>
      <c r="AM50" s="455">
        <v>8305232.71</v>
      </c>
      <c r="AN50" s="455">
        <f t="shared" si="47"/>
        <v>8387615.2515633795</v>
      </c>
      <c r="AO50" s="455">
        <f t="shared" si="48"/>
        <v>82382.541563379578</v>
      </c>
      <c r="AP50" s="455">
        <v>6155362.4199999999</v>
      </c>
      <c r="AQ50" s="456">
        <f t="shared" si="49"/>
        <v>6216419.6341451285</v>
      </c>
      <c r="AR50" s="456">
        <f t="shared" si="26"/>
        <v>61057.214145128615</v>
      </c>
      <c r="AS50" s="456">
        <f t="shared" si="50"/>
        <v>67085572.520000003</v>
      </c>
      <c r="AT50" s="457">
        <f t="shared" si="33"/>
        <v>665445.49868035316</v>
      </c>
      <c r="AU50" s="458">
        <f t="shared" si="51"/>
        <v>62810357.061048828</v>
      </c>
      <c r="AV50" s="455"/>
      <c r="AW50" s="455">
        <f t="shared" si="52"/>
        <v>-4275215.4589511752</v>
      </c>
      <c r="AX50" s="459">
        <f t="shared" si="53"/>
        <v>8.1032000000000326E-4</v>
      </c>
      <c r="AY50" s="460"/>
      <c r="AZ50" s="461">
        <v>60930210.100000001</v>
      </c>
      <c r="BA50" s="462"/>
      <c r="BB50" s="460">
        <f t="shared" si="54"/>
        <v>8250113.0000000009</v>
      </c>
      <c r="BC50" s="460">
        <f t="shared" si="30"/>
        <v>665445.49868035316</v>
      </c>
      <c r="BD50" s="460">
        <f t="shared" si="27"/>
        <v>8915558.4986803532</v>
      </c>
    </row>
    <row r="51" spans="1:56" ht="15.75" x14ac:dyDescent="0.2">
      <c r="A51" s="417" t="s">
        <v>37</v>
      </c>
      <c r="B51" s="440">
        <f>'State Population'!I42</f>
        <v>874228</v>
      </c>
      <c r="C51" s="441">
        <f t="shared" si="38"/>
        <v>2.2160947101470364E-2</v>
      </c>
      <c r="D51" s="442">
        <f>'Poverty-Uninsured Population'!E40</f>
        <v>1.739648934736138E-2</v>
      </c>
      <c r="E51" s="441">
        <f>Prevalence!J40</f>
        <v>1.531959135702016E-2</v>
      </c>
      <c r="F51" s="442">
        <f t="shared" si="31"/>
        <v>1.9363338626347631E-2</v>
      </c>
      <c r="G51" s="443">
        <f>'Self Suff. Calc'!F42</f>
        <v>1.3602646262059919</v>
      </c>
      <c r="H51" s="442">
        <f t="shared" si="32"/>
        <v>2.21537090072761E-2</v>
      </c>
      <c r="I51" s="442">
        <f t="shared" si="55"/>
        <v>2.1144149086922269E-2</v>
      </c>
      <c r="J51" s="442">
        <f>'Resources-new'!M42</f>
        <v>3.2000277277978759E-2</v>
      </c>
      <c r="K51" s="442">
        <f>'[1]Allocation 2021-22'!K44</f>
        <v>2.1857999999999999E-2</v>
      </c>
      <c r="L51" s="444">
        <f t="shared" si="39"/>
        <v>2.1597778260677027E-2</v>
      </c>
      <c r="M51" s="445">
        <f t="shared" si="40"/>
        <v>27838448.239175741</v>
      </c>
      <c r="N51" s="447"/>
      <c r="O51" s="447">
        <f t="shared" si="41"/>
        <v>0</v>
      </c>
      <c r="P51" s="445">
        <f t="shared" si="34"/>
        <v>27838448.239175741</v>
      </c>
      <c r="Q51" s="445">
        <f t="shared" si="42"/>
        <v>29515647.170586441</v>
      </c>
      <c r="R51" s="445">
        <f t="shared" si="35"/>
        <v>57354095.409762181</v>
      </c>
      <c r="S51" s="449">
        <f t="shared" si="23"/>
        <v>1.9924089999999998E-2</v>
      </c>
      <c r="T51" s="450"/>
      <c r="U51" s="451">
        <v>1.8567032516155504E-2</v>
      </c>
      <c r="V51" s="451">
        <f t="shared" si="24"/>
        <v>1.357057483844494E-3</v>
      </c>
      <c r="W51" s="423">
        <f t="shared" si="36"/>
        <v>450000</v>
      </c>
      <c r="X51" s="452">
        <f t="shared" si="37"/>
        <v>27838448.239175741</v>
      </c>
      <c r="Y51" s="422">
        <v>1.8567032516155504E-2</v>
      </c>
      <c r="Z51" s="401"/>
      <c r="AA51" s="449">
        <v>1.8798809999999999E-2</v>
      </c>
      <c r="AB51" s="420">
        <v>1.8798809999999999</v>
      </c>
      <c r="AC51" s="459">
        <f t="shared" si="28"/>
        <v>1.1252799999999993E-3</v>
      </c>
      <c r="AD51" s="455">
        <v>7925780.3799999999</v>
      </c>
      <c r="AE51" s="455">
        <f t="shared" si="56"/>
        <v>8400210.5197986215</v>
      </c>
      <c r="AF51" s="455">
        <f t="shared" si="25"/>
        <v>474430.13979862165</v>
      </c>
      <c r="AG51" s="455">
        <v>1759881.3</v>
      </c>
      <c r="AH51" s="455">
        <f t="shared" si="43"/>
        <v>1865226.2251745474</v>
      </c>
      <c r="AI51" s="455">
        <f t="shared" si="44"/>
        <v>105344.92517454736</v>
      </c>
      <c r="AJ51" s="455">
        <v>2424475.94</v>
      </c>
      <c r="AK51" s="455">
        <f t="shared" si="45"/>
        <v>2569602.910481405</v>
      </c>
      <c r="AL51" s="455">
        <f t="shared" si="46"/>
        <v>145126.97048140503</v>
      </c>
      <c r="AM51" s="455">
        <v>1911212.43</v>
      </c>
      <c r="AN51" s="455">
        <f t="shared" si="47"/>
        <v>2025615.9055945221</v>
      </c>
      <c r="AO51" s="455">
        <f t="shared" si="48"/>
        <v>114403.4755945222</v>
      </c>
      <c r="AP51" s="455">
        <v>1416481.1</v>
      </c>
      <c r="AQ51" s="456">
        <f t="shared" si="49"/>
        <v>1501270.3979748471</v>
      </c>
      <c r="AR51" s="456">
        <f t="shared" si="26"/>
        <v>84789.297974847024</v>
      </c>
      <c r="AS51" s="456">
        <f t="shared" si="50"/>
        <v>15437831.149999999</v>
      </c>
      <c r="AT51" s="457">
        <f t="shared" si="33"/>
        <v>924094.80902394326</v>
      </c>
      <c r="AU51" s="458">
        <f t="shared" si="51"/>
        <v>15168752.319107292</v>
      </c>
      <c r="AV51" s="455"/>
      <c r="AW51" s="455">
        <f t="shared" si="52"/>
        <v>-269078.83089270629</v>
      </c>
      <c r="AX51" s="459">
        <f t="shared" si="53"/>
        <v>1.1252799999999993E-3</v>
      </c>
      <c r="AY51" s="460"/>
      <c r="AZ51" s="461">
        <v>14021350.050000001</v>
      </c>
      <c r="BA51" s="462"/>
      <c r="BB51" s="460">
        <f t="shared" si="54"/>
        <v>1992408.9999999998</v>
      </c>
      <c r="BC51" s="460">
        <f t="shared" si="30"/>
        <v>924094.80902394326</v>
      </c>
      <c r="BD51" s="460">
        <f t="shared" si="27"/>
        <v>2916503.8090239428</v>
      </c>
    </row>
    <row r="52" spans="1:56" ht="15.75" x14ac:dyDescent="0.2">
      <c r="A52" s="417" t="s">
        <v>38</v>
      </c>
      <c r="B52" s="440">
        <f>'State Population'!I43</f>
        <v>746868</v>
      </c>
      <c r="C52" s="441">
        <f t="shared" si="38"/>
        <v>1.8932477843058067E-2</v>
      </c>
      <c r="D52" s="442">
        <f>'Poverty-Uninsured Population'!E41</f>
        <v>2.1370428491611106E-2</v>
      </c>
      <c r="E52" s="441">
        <f>Prevalence!J41</f>
        <v>2.2578428713497876E-2</v>
      </c>
      <c r="F52" s="442">
        <f t="shared" si="31"/>
        <v>2.0393053211711941E-2</v>
      </c>
      <c r="G52" s="443">
        <f>'Self Suff. Calc'!F43</f>
        <v>0.9076270674365593</v>
      </c>
      <c r="H52" s="442">
        <f t="shared" si="32"/>
        <v>1.963954676007669E-2</v>
      </c>
      <c r="I52" s="442">
        <f t="shared" si="55"/>
        <v>1.8744558961131766E-2</v>
      </c>
      <c r="J52" s="442">
        <f>'Resources-new'!M43</f>
        <v>1.7310135838113212E-2</v>
      </c>
      <c r="K52" s="442">
        <f>'[1]Allocation 2021-22'!K45</f>
        <v>1.9092000000000001E-2</v>
      </c>
      <c r="L52" s="444">
        <f t="shared" si="39"/>
        <v>1.8864707775315483E-2</v>
      </c>
      <c r="M52" s="445">
        <f t="shared" si="40"/>
        <v>24315658.055739008</v>
      </c>
      <c r="N52" s="447"/>
      <c r="O52" s="447">
        <f t="shared" si="41"/>
        <v>0</v>
      </c>
      <c r="P52" s="445">
        <f t="shared" si="34"/>
        <v>24315658.055739008</v>
      </c>
      <c r="Q52" s="445">
        <f t="shared" si="42"/>
        <v>26854330.793197673</v>
      </c>
      <c r="R52" s="445">
        <f t="shared" si="35"/>
        <v>51169988.848936677</v>
      </c>
      <c r="S52" s="449">
        <f t="shared" si="23"/>
        <v>1.777581E-2</v>
      </c>
      <c r="T52" s="450"/>
      <c r="U52" s="451">
        <v>1.6892912093548058E-2</v>
      </c>
      <c r="V52" s="451">
        <f t="shared" si="24"/>
        <v>8.8289790645194183E-4</v>
      </c>
      <c r="W52" s="423">
        <f t="shared" si="36"/>
        <v>450000</v>
      </c>
      <c r="X52" s="452">
        <f t="shared" si="37"/>
        <v>24315658.055739008</v>
      </c>
      <c r="Y52" s="422">
        <v>1.6892912093548058E-2</v>
      </c>
      <c r="Z52" s="401"/>
      <c r="AA52" s="449">
        <v>1.7292760000000001E-2</v>
      </c>
      <c r="AB52" s="420">
        <v>1.729276</v>
      </c>
      <c r="AC52" s="459">
        <f t="shared" si="28"/>
        <v>4.8304999999999876E-4</v>
      </c>
      <c r="AD52" s="455">
        <v>7290813.5099999998</v>
      </c>
      <c r="AE52" s="455">
        <f t="shared" si="56"/>
        <v>7494472.5786694158</v>
      </c>
      <c r="AF52" s="455">
        <f t="shared" si="25"/>
        <v>203659.06866941601</v>
      </c>
      <c r="AG52" s="455">
        <v>1618889.97</v>
      </c>
      <c r="AH52" s="455">
        <f t="shared" si="43"/>
        <v>1664111.4844251343</v>
      </c>
      <c r="AI52" s="455">
        <f t="shared" si="44"/>
        <v>45221.514425134286</v>
      </c>
      <c r="AJ52" s="455">
        <v>2230241.2000000002</v>
      </c>
      <c r="AK52" s="455">
        <f t="shared" si="45"/>
        <v>2292539.9911446124</v>
      </c>
      <c r="AL52" s="455">
        <f t="shared" si="46"/>
        <v>62298.791144612245</v>
      </c>
      <c r="AM52" s="455">
        <v>1758097.34</v>
      </c>
      <c r="AN52" s="455">
        <f t="shared" si="47"/>
        <v>1807207.4293393658</v>
      </c>
      <c r="AO52" s="455">
        <f t="shared" si="48"/>
        <v>49110.089339365717</v>
      </c>
      <c r="AP52" s="455">
        <v>1303000.97</v>
      </c>
      <c r="AQ52" s="456">
        <f t="shared" si="49"/>
        <v>1339398.5548662583</v>
      </c>
      <c r="AR52" s="456">
        <f t="shared" si="26"/>
        <v>36397.584866258316</v>
      </c>
      <c r="AS52" s="456">
        <f t="shared" si="50"/>
        <v>14201042.99</v>
      </c>
      <c r="AT52" s="457">
        <f t="shared" si="33"/>
        <v>396687.04844478657</v>
      </c>
      <c r="AU52" s="458">
        <f t="shared" si="51"/>
        <v>13533208.24998836</v>
      </c>
      <c r="AV52" s="455"/>
      <c r="AW52" s="455">
        <f t="shared" si="52"/>
        <v>-667834.74001163989</v>
      </c>
      <c r="AX52" s="459">
        <f t="shared" si="53"/>
        <v>4.8304999999999876E-4</v>
      </c>
      <c r="AY52" s="460"/>
      <c r="AZ52" s="461">
        <v>12898042.02</v>
      </c>
      <c r="BA52" s="462"/>
      <c r="BB52" s="460">
        <f t="shared" si="54"/>
        <v>1777581</v>
      </c>
      <c r="BC52" s="460">
        <f t="shared" si="30"/>
        <v>396687.04844478657</v>
      </c>
      <c r="BD52" s="460">
        <f t="shared" si="27"/>
        <v>2174268.0484447866</v>
      </c>
    </row>
    <row r="53" spans="1:56" ht="15.75" x14ac:dyDescent="0.2">
      <c r="A53" s="417" t="s">
        <v>39</v>
      </c>
      <c r="B53" s="440">
        <f>'State Population'!I44</f>
        <v>280101</v>
      </c>
      <c r="C53" s="441">
        <f t="shared" si="38"/>
        <v>7.1003255947749899E-3</v>
      </c>
      <c r="D53" s="442">
        <f>'Poverty-Uninsured Population'!E42</f>
        <v>6.1020544680401223E-3</v>
      </c>
      <c r="E53" s="441">
        <f>Prevalence!J42</f>
        <v>6.1251243106409912E-3</v>
      </c>
      <c r="F53" s="442">
        <f t="shared" si="31"/>
        <v>6.6058039999277304E-3</v>
      </c>
      <c r="G53" s="443">
        <f>'Self Suff. Calc'!F44</f>
        <v>1.0711595570220553</v>
      </c>
      <c r="H53" s="442">
        <f t="shared" si="32"/>
        <v>6.7938304344914817E-3</v>
      </c>
      <c r="I53" s="442">
        <f t="shared" si="55"/>
        <v>6.4842308586331018E-3</v>
      </c>
      <c r="J53" s="442">
        <f>'Resources-new'!M44</f>
        <v>6.4123979022079908E-3</v>
      </c>
      <c r="K53" s="442">
        <f>'[1]Allocation 2021-22'!K46</f>
        <v>6.0029999999999997E-3</v>
      </c>
      <c r="L53" s="444">
        <f t="shared" si="39"/>
        <v>5.9315336672542858E-3</v>
      </c>
      <c r="M53" s="445">
        <f t="shared" si="40"/>
        <v>7645448.1096061831</v>
      </c>
      <c r="N53" s="447"/>
      <c r="O53" s="447">
        <f t="shared" si="41"/>
        <v>0</v>
      </c>
      <c r="P53" s="445">
        <f t="shared" si="34"/>
        <v>7645448.1096061831</v>
      </c>
      <c r="Q53" s="445">
        <f t="shared" si="42"/>
        <v>10831970.199960701</v>
      </c>
      <c r="R53" s="445">
        <f t="shared" si="35"/>
        <v>18477418.309566885</v>
      </c>
      <c r="S53" s="449">
        <f t="shared" si="23"/>
        <v>6.4188200000000004E-3</v>
      </c>
      <c r="T53" s="450"/>
      <c r="U53" s="451">
        <v>6.8139296338085957E-3</v>
      </c>
      <c r="V53" s="451">
        <f t="shared" si="24"/>
        <v>-3.9510963380859528E-4</v>
      </c>
      <c r="W53" s="423">
        <f t="shared" si="36"/>
        <v>450000</v>
      </c>
      <c r="X53" s="452">
        <f t="shared" si="37"/>
        <v>7645448.1096061831</v>
      </c>
      <c r="Y53" s="422">
        <v>6.8139296338085957E-3</v>
      </c>
      <c r="Z53" s="401"/>
      <c r="AA53" s="449">
        <v>6.4958100000000003E-3</v>
      </c>
      <c r="AB53" s="420">
        <v>0.64958099999999996</v>
      </c>
      <c r="AC53" s="459">
        <f t="shared" si="28"/>
        <v>-7.6989999999999871E-5</v>
      </c>
      <c r="AD53" s="455">
        <v>2738703.32</v>
      </c>
      <c r="AE53" s="455">
        <f t="shared" si="56"/>
        <v>2706243.5116832834</v>
      </c>
      <c r="AF53" s="455">
        <f t="shared" si="25"/>
        <v>-32459.808316716459</v>
      </c>
      <c r="AG53" s="455">
        <v>608115.86</v>
      </c>
      <c r="AH53" s="455">
        <f t="shared" si="43"/>
        <v>600908.31745263597</v>
      </c>
      <c r="AI53" s="455">
        <f t="shared" si="44"/>
        <v>-7207.5425473640207</v>
      </c>
      <c r="AJ53" s="455">
        <v>837762.34</v>
      </c>
      <c r="AK53" s="455">
        <f t="shared" si="45"/>
        <v>827832.96772180079</v>
      </c>
      <c r="AL53" s="455">
        <f t="shared" si="46"/>
        <v>-9929.3722781991819</v>
      </c>
      <c r="AM53" s="455">
        <v>660407.38</v>
      </c>
      <c r="AN53" s="455">
        <f t="shared" si="47"/>
        <v>652580.06198266684</v>
      </c>
      <c r="AO53" s="455">
        <f t="shared" si="48"/>
        <v>-7827.3180173331639</v>
      </c>
      <c r="AP53" s="455">
        <v>489456.09</v>
      </c>
      <c r="AQ53" s="456">
        <f t="shared" si="49"/>
        <v>483654.9351026275</v>
      </c>
      <c r="AR53" s="456">
        <f t="shared" si="26"/>
        <v>-5801.1548973725294</v>
      </c>
      <c r="AS53" s="456">
        <f t="shared" si="50"/>
        <v>5334444.9899999993</v>
      </c>
      <c r="AT53" s="457">
        <f t="shared" si="33"/>
        <v>-63225.196056985355</v>
      </c>
      <c r="AU53" s="458">
        <f t="shared" si="51"/>
        <v>4886822.4727419056</v>
      </c>
      <c r="AV53" s="455"/>
      <c r="AW53" s="455">
        <f t="shared" si="52"/>
        <v>-447622.51725809369</v>
      </c>
      <c r="AX53" s="459">
        <f t="shared" si="53"/>
        <v>-7.6989999999999871E-5</v>
      </c>
      <c r="AY53" s="460"/>
      <c r="AZ53" s="461">
        <v>4844988.9000000004</v>
      </c>
      <c r="BA53" s="462"/>
      <c r="BB53" s="460">
        <f t="shared" si="54"/>
        <v>641882</v>
      </c>
      <c r="BC53" s="460">
        <f t="shared" si="30"/>
        <v>-63225.196056985355</v>
      </c>
      <c r="BD53" s="460">
        <f t="shared" si="27"/>
        <v>578656.8039430147</v>
      </c>
    </row>
    <row r="54" spans="1:56" ht="15.75" x14ac:dyDescent="0.2">
      <c r="A54" s="417" t="s">
        <v>40</v>
      </c>
      <c r="B54" s="440">
        <f>'State Population'!I45</f>
        <v>770203</v>
      </c>
      <c r="C54" s="441">
        <f t="shared" si="38"/>
        <v>1.9524000535779885E-2</v>
      </c>
      <c r="D54" s="442">
        <f>'Poverty-Uninsured Population'!E43</f>
        <v>1.0956256571003187E-2</v>
      </c>
      <c r="E54" s="441">
        <f>Prevalence!J43</f>
        <v>8.9467498417864569E-3</v>
      </c>
      <c r="F54" s="442">
        <f t="shared" si="31"/>
        <v>1.4838227207548189E-2</v>
      </c>
      <c r="G54" s="443">
        <f>'Self Suff. Calc'!F45</f>
        <v>1.4824280019632914</v>
      </c>
      <c r="H54" s="442">
        <f t="shared" si="32"/>
        <v>1.7701577729314119E-2</v>
      </c>
      <c r="I54" s="442">
        <f t="shared" si="55"/>
        <v>1.6894904526345077E-2</v>
      </c>
      <c r="J54" s="442">
        <f>'Resources-new'!M45</f>
        <v>1.6203300616117335E-2</v>
      </c>
      <c r="K54" s="442">
        <f>'[1]Allocation 2021-22'!K47</f>
        <v>2.0251000000000002E-2</v>
      </c>
      <c r="L54" s="444">
        <f t="shared" si="39"/>
        <v>2.0009909761047238E-2</v>
      </c>
      <c r="M54" s="445">
        <f t="shared" si="40"/>
        <v>25791765.72840827</v>
      </c>
      <c r="N54" s="447"/>
      <c r="O54" s="447">
        <f t="shared" si="41"/>
        <v>0</v>
      </c>
      <c r="P54" s="445">
        <f t="shared" si="34"/>
        <v>25791765.72840827</v>
      </c>
      <c r="Q54" s="445">
        <f t="shared" si="42"/>
        <v>25939396.279777631</v>
      </c>
      <c r="R54" s="445">
        <f t="shared" si="35"/>
        <v>51731162.008185901</v>
      </c>
      <c r="S54" s="449">
        <f t="shared" si="23"/>
        <v>1.7970759999999999E-2</v>
      </c>
      <c r="T54" s="450"/>
      <c r="U54" s="451">
        <v>1.6317365883680376E-2</v>
      </c>
      <c r="V54" s="451">
        <f t="shared" si="24"/>
        <v>1.6533941163196231E-3</v>
      </c>
      <c r="W54" s="423">
        <f t="shared" si="36"/>
        <v>450000</v>
      </c>
      <c r="X54" s="452">
        <f t="shared" si="37"/>
        <v>25791765.72840827</v>
      </c>
      <c r="Y54" s="422">
        <v>1.6317365883680376E-2</v>
      </c>
      <c r="Z54" s="401"/>
      <c r="AA54" s="449">
        <v>1.6501689999999999E-2</v>
      </c>
      <c r="AB54" s="420">
        <v>1.650169</v>
      </c>
      <c r="AC54" s="459">
        <f t="shared" si="28"/>
        <v>1.4690699999999994E-3</v>
      </c>
      <c r="AD54" s="455">
        <v>6957289.8899999997</v>
      </c>
      <c r="AE54" s="455">
        <f t="shared" si="56"/>
        <v>7576665.5943019865</v>
      </c>
      <c r="AF54" s="455">
        <f t="shared" si="25"/>
        <v>619375.70430198684</v>
      </c>
      <c r="AG54" s="455">
        <v>1544832.66</v>
      </c>
      <c r="AH54" s="455">
        <f t="shared" si="43"/>
        <v>1682362.0470655249</v>
      </c>
      <c r="AI54" s="455">
        <f t="shared" si="44"/>
        <v>137529.38706552493</v>
      </c>
      <c r="AJ54" s="455">
        <v>2128217.1800000002</v>
      </c>
      <c r="AK54" s="455">
        <f t="shared" si="45"/>
        <v>2317682.6243789708</v>
      </c>
      <c r="AL54" s="455">
        <f t="shared" si="46"/>
        <v>189465.44437897066</v>
      </c>
      <c r="AM54" s="455">
        <v>1677671.89</v>
      </c>
      <c r="AN54" s="455">
        <f t="shared" si="47"/>
        <v>1827027.3468761591</v>
      </c>
      <c r="AO54" s="455">
        <f t="shared" si="48"/>
        <v>149355.45687615918</v>
      </c>
      <c r="AP54" s="455">
        <v>1243394.24</v>
      </c>
      <c r="AQ54" s="456">
        <f t="shared" si="49"/>
        <v>1354087.9416380101</v>
      </c>
      <c r="AR54" s="456">
        <f t="shared" si="26"/>
        <v>110693.7016380101</v>
      </c>
      <c r="AS54" s="456">
        <f t="shared" si="50"/>
        <v>13551405.859999999</v>
      </c>
      <c r="AT54" s="457">
        <f t="shared" si="33"/>
        <v>1206419.6942606517</v>
      </c>
      <c r="AU54" s="458">
        <f t="shared" si="51"/>
        <v>13681628.994153338</v>
      </c>
      <c r="AV54" s="455"/>
      <c r="AW54" s="455">
        <f t="shared" si="52"/>
        <v>130223.13415333815</v>
      </c>
      <c r="AX54" s="459">
        <f t="shared" si="53"/>
        <v>1.4690699999999994E-3</v>
      </c>
      <c r="AY54" s="460"/>
      <c r="AZ54" s="461">
        <v>12308011.619999999</v>
      </c>
      <c r="BA54" s="462"/>
      <c r="BB54" s="460">
        <f t="shared" si="54"/>
        <v>1797075.9999999998</v>
      </c>
      <c r="BC54" s="460">
        <f t="shared" si="30"/>
        <v>1206419.6942606517</v>
      </c>
      <c r="BD54" s="460">
        <f t="shared" si="27"/>
        <v>3003495.6942606512</v>
      </c>
    </row>
    <row r="55" spans="1:56" ht="15.75" x14ac:dyDescent="0.2">
      <c r="A55" s="417" t="s">
        <v>41</v>
      </c>
      <c r="B55" s="440">
        <f>'State Population'!I46</f>
        <v>450663</v>
      </c>
      <c r="C55" s="441">
        <f t="shared" si="38"/>
        <v>1.1423929345193632E-2</v>
      </c>
      <c r="D55" s="442">
        <f>'Poverty-Uninsured Population'!E44</f>
        <v>1.1537961640144314E-2</v>
      </c>
      <c r="E55" s="441">
        <f>Prevalence!J44</f>
        <v>1.1839797486664859E-2</v>
      </c>
      <c r="F55" s="442">
        <f t="shared" si="31"/>
        <v>1.1541312661973082E-2</v>
      </c>
      <c r="G55" s="443">
        <f>'Self Suff. Calc'!F46</f>
        <v>1.1150494015147712</v>
      </c>
      <c r="H55" s="442">
        <f t="shared" si="32"/>
        <v>1.2072441107755023E-2</v>
      </c>
      <c r="I55" s="442">
        <f t="shared" si="55"/>
        <v>1.1522291573913148E-2</v>
      </c>
      <c r="J55" s="442">
        <f>'Resources-new'!M46</f>
        <v>1.0272809144904313E-2</v>
      </c>
      <c r="K55" s="442">
        <f>'[1]Allocation 2021-22'!K48</f>
        <v>1.3115E-2</v>
      </c>
      <c r="L55" s="444">
        <f t="shared" si="39"/>
        <v>1.2958864575385635E-2</v>
      </c>
      <c r="M55" s="445">
        <f t="shared" si="40"/>
        <v>16703323.664415309</v>
      </c>
      <c r="N55" s="447"/>
      <c r="O55" s="447">
        <f t="shared" si="41"/>
        <v>0</v>
      </c>
      <c r="P55" s="445">
        <f t="shared" si="34"/>
        <v>16703323.664415309</v>
      </c>
      <c r="Q55" s="445">
        <f t="shared" si="42"/>
        <v>18464033.985493537</v>
      </c>
      <c r="R55" s="445">
        <f t="shared" si="35"/>
        <v>35167357.649908848</v>
      </c>
      <c r="S55" s="449">
        <f t="shared" si="23"/>
        <v>1.22167E-2</v>
      </c>
      <c r="T55" s="450"/>
      <c r="U55" s="451">
        <v>1.1614934865114371E-2</v>
      </c>
      <c r="V55" s="451">
        <f t="shared" si="24"/>
        <v>6.0176513488562934E-4</v>
      </c>
      <c r="W55" s="423">
        <f t="shared" si="36"/>
        <v>450000</v>
      </c>
      <c r="X55" s="452">
        <f t="shared" si="37"/>
        <v>16703323.664415309</v>
      </c>
      <c r="Y55" s="422">
        <v>1.1614934865114371E-2</v>
      </c>
      <c r="Z55" s="401"/>
      <c r="AA55" s="449">
        <v>1.116488E-2</v>
      </c>
      <c r="AB55" s="420">
        <v>1.1164879999999999</v>
      </c>
      <c r="AC55" s="459">
        <f t="shared" si="28"/>
        <v>1.0518200000000002E-3</v>
      </c>
      <c r="AD55" s="455">
        <v>4707233.43</v>
      </c>
      <c r="AE55" s="455">
        <f t="shared" si="56"/>
        <v>5150692.0445161518</v>
      </c>
      <c r="AF55" s="455">
        <f t="shared" si="25"/>
        <v>443458.61451615207</v>
      </c>
      <c r="AG55" s="455">
        <v>1045218.48</v>
      </c>
      <c r="AH55" s="455">
        <f t="shared" si="43"/>
        <v>1143686.3226922734</v>
      </c>
      <c r="AI55" s="455">
        <f t="shared" si="44"/>
        <v>98467.842692273436</v>
      </c>
      <c r="AJ55" s="455">
        <v>1439930.66</v>
      </c>
      <c r="AK55" s="455">
        <f t="shared" si="45"/>
        <v>1575583.5210781612</v>
      </c>
      <c r="AL55" s="455">
        <f t="shared" si="46"/>
        <v>135652.86107816128</v>
      </c>
      <c r="AM55" s="455">
        <v>1135096.18</v>
      </c>
      <c r="AN55" s="455">
        <f t="shared" si="47"/>
        <v>1242031.2211938715</v>
      </c>
      <c r="AO55" s="455">
        <f t="shared" si="48"/>
        <v>106935.04119387153</v>
      </c>
      <c r="AP55" s="455">
        <v>841268.23</v>
      </c>
      <c r="AQ55" s="456">
        <f t="shared" si="49"/>
        <v>920522.34611163253</v>
      </c>
      <c r="AR55" s="456">
        <f t="shared" si="26"/>
        <v>79254.116111632553</v>
      </c>
      <c r="AS55" s="456">
        <f t="shared" si="50"/>
        <v>9168746.9800000004</v>
      </c>
      <c r="AT55" s="457">
        <f t="shared" si="33"/>
        <v>863768.47559209086</v>
      </c>
      <c r="AU55" s="458">
        <f t="shared" si="51"/>
        <v>9300906.4131329488</v>
      </c>
      <c r="AV55" s="455"/>
      <c r="AW55" s="455">
        <f t="shared" si="52"/>
        <v>132159.43313294835</v>
      </c>
      <c r="AX55" s="459">
        <f t="shared" si="53"/>
        <v>1.0518200000000002E-3</v>
      </c>
      <c r="AY55" s="460"/>
      <c r="AZ55" s="461">
        <v>8327478.75</v>
      </c>
      <c r="BA55" s="462"/>
      <c r="BB55" s="460">
        <f t="shared" si="54"/>
        <v>1221670</v>
      </c>
      <c r="BC55" s="460">
        <f t="shared" si="30"/>
        <v>863768.47559209086</v>
      </c>
      <c r="BD55" s="460">
        <f t="shared" si="27"/>
        <v>2085438.4755920907</v>
      </c>
    </row>
    <row r="56" spans="1:56" ht="15.75" x14ac:dyDescent="0.2">
      <c r="A56" s="417" t="s">
        <v>42</v>
      </c>
      <c r="B56" s="440">
        <f>'State Population'!I47</f>
        <v>1938180</v>
      </c>
      <c r="C56" s="441">
        <f t="shared" si="38"/>
        <v>4.913123859351088E-2</v>
      </c>
      <c r="D56" s="442">
        <f>'Poverty-Uninsured Population'!E45</f>
        <v>3.1645280772228501E-2</v>
      </c>
      <c r="E56" s="441">
        <f>Prevalence!J45</f>
        <v>2.6882741162643522E-2</v>
      </c>
      <c r="F56" s="442">
        <f t="shared" si="31"/>
        <v>3.9435751760952695E-2</v>
      </c>
      <c r="G56" s="443">
        <f>'Self Suff. Calc'!F47</f>
        <v>1.3549209654156584</v>
      </c>
      <c r="H56" s="442">
        <f t="shared" si="32"/>
        <v>4.5034381795708525E-2</v>
      </c>
      <c r="I56" s="442">
        <f t="shared" si="55"/>
        <v>4.2982133710120364E-2</v>
      </c>
      <c r="J56" s="442">
        <f>'Resources-new'!M47</f>
        <v>4.2353369238825447E-2</v>
      </c>
      <c r="K56" s="442">
        <f>'[1]Allocation 2021-22'!K49</f>
        <v>4.6269999999999999E-2</v>
      </c>
      <c r="L56" s="444">
        <f t="shared" si="39"/>
        <v>4.5719150888531707E-2</v>
      </c>
      <c r="M56" s="445">
        <f t="shared" si="40"/>
        <v>58929682.497331023</v>
      </c>
      <c r="N56" s="447"/>
      <c r="O56" s="447">
        <f t="shared" si="41"/>
        <v>0</v>
      </c>
      <c r="P56" s="445">
        <f t="shared" si="34"/>
        <v>58929682.497331023</v>
      </c>
      <c r="Q56" s="445">
        <f t="shared" si="42"/>
        <v>73071813.181405544</v>
      </c>
      <c r="R56" s="445">
        <f t="shared" si="35"/>
        <v>132001495.67873657</v>
      </c>
      <c r="S56" s="449">
        <f t="shared" si="23"/>
        <v>4.5855670000000001E-2</v>
      </c>
      <c r="T56" s="450"/>
      <c r="U56" s="451">
        <v>4.5966355523643448E-2</v>
      </c>
      <c r="V56" s="451">
        <f t="shared" si="24"/>
        <v>-1.106855236434473E-4</v>
      </c>
      <c r="W56" s="423">
        <f t="shared" si="36"/>
        <v>450000</v>
      </c>
      <c r="X56" s="452">
        <f t="shared" si="37"/>
        <v>58929682.497331023</v>
      </c>
      <c r="Y56" s="422">
        <v>4.5966355523643448E-2</v>
      </c>
      <c r="Z56" s="401"/>
      <c r="AA56" s="449">
        <v>4.5583249999999999E-2</v>
      </c>
      <c r="AB56" s="420">
        <v>4.558325</v>
      </c>
      <c r="AC56" s="459">
        <f t="shared" si="28"/>
        <v>2.7242000000000238E-4</v>
      </c>
      <c r="AD56" s="455">
        <v>19218388.199999999</v>
      </c>
      <c r="AE56" s="455">
        <f t="shared" si="56"/>
        <v>19333243.401651673</v>
      </c>
      <c r="AF56" s="455">
        <f t="shared" si="25"/>
        <v>114855.20165167376</v>
      </c>
      <c r="AG56" s="455">
        <v>4267350.3899999997</v>
      </c>
      <c r="AH56" s="455">
        <f t="shared" si="43"/>
        <v>4292853.4380716886</v>
      </c>
      <c r="AI56" s="455">
        <f t="shared" si="44"/>
        <v>25503.048071688972</v>
      </c>
      <c r="AJ56" s="455">
        <v>5878855.79</v>
      </c>
      <c r="AK56" s="455">
        <f t="shared" si="45"/>
        <v>5913989.7026200369</v>
      </c>
      <c r="AL56" s="455">
        <f t="shared" si="46"/>
        <v>35133.912620036863</v>
      </c>
      <c r="AM56" s="455">
        <v>4634297.29</v>
      </c>
      <c r="AN56" s="455">
        <f t="shared" si="47"/>
        <v>4661993.3213358084</v>
      </c>
      <c r="AO56" s="455">
        <f t="shared" si="48"/>
        <v>27696.031335808337</v>
      </c>
      <c r="AP56" s="455">
        <v>3434675.5</v>
      </c>
      <c r="AQ56" s="456">
        <f t="shared" si="49"/>
        <v>3455202.2175318049</v>
      </c>
      <c r="AR56" s="456">
        <f t="shared" si="26"/>
        <v>20526.717531804927</v>
      </c>
      <c r="AS56" s="456">
        <f t="shared" si="50"/>
        <v>37433567.170000002</v>
      </c>
      <c r="AT56" s="457">
        <f t="shared" si="33"/>
        <v>223714.91121101286</v>
      </c>
      <c r="AU56" s="458">
        <f t="shared" si="51"/>
        <v>34911170.38001328</v>
      </c>
      <c r="AV56" s="455"/>
      <c r="AW56" s="455">
        <f t="shared" si="52"/>
        <v>-2522396.7899867222</v>
      </c>
      <c r="AX56" s="459">
        <f t="shared" si="53"/>
        <v>2.7242000000000238E-4</v>
      </c>
      <c r="AY56" s="460"/>
      <c r="AZ56" s="461">
        <v>33998891.670000002</v>
      </c>
      <c r="BA56" s="462"/>
      <c r="BB56" s="460">
        <f t="shared" si="54"/>
        <v>4585567</v>
      </c>
      <c r="BC56" s="460">
        <f t="shared" si="30"/>
        <v>223714.91121101286</v>
      </c>
      <c r="BD56" s="460">
        <f t="shared" si="27"/>
        <v>4809281.9112110129</v>
      </c>
    </row>
    <row r="57" spans="1:56" ht="15.75" x14ac:dyDescent="0.2">
      <c r="A57" s="417" t="s">
        <v>43</v>
      </c>
      <c r="B57" s="440">
        <f>'State Population'!I48</f>
        <v>276603</v>
      </c>
      <c r="C57" s="441">
        <f t="shared" si="38"/>
        <v>7.011654226480972E-3</v>
      </c>
      <c r="D57" s="442">
        <f>'Poverty-Uninsured Population'!E46</f>
        <v>6.1188030915534956E-3</v>
      </c>
      <c r="E57" s="441">
        <f>Prevalence!J46</f>
        <v>6.0021697857336586E-3</v>
      </c>
      <c r="F57" s="442">
        <f t="shared" si="31"/>
        <v>6.5419019978532663E-3</v>
      </c>
      <c r="G57" s="443">
        <f>'Self Suff. Calc'!F48</f>
        <v>1.2510658669016386</v>
      </c>
      <c r="H57" s="442">
        <f t="shared" si="32"/>
        <v>7.1988813163639028E-3</v>
      </c>
      <c r="I57" s="442">
        <f t="shared" si="55"/>
        <v>6.8708232902339192E-3</v>
      </c>
      <c r="J57" s="442">
        <f>'Resources-new'!M48</f>
        <v>7.7101885590351374E-3</v>
      </c>
      <c r="K57" s="442">
        <f>'[1]Allocation 2021-22'!K50</f>
        <v>7.3969999999999999E-3</v>
      </c>
      <c r="L57" s="444">
        <f t="shared" si="39"/>
        <v>7.3089379538030909E-3</v>
      </c>
      <c r="M57" s="445">
        <f t="shared" si="40"/>
        <v>9420852.8513671402</v>
      </c>
      <c r="N57" s="447"/>
      <c r="O57" s="447">
        <f t="shared" si="41"/>
        <v>0</v>
      </c>
      <c r="P57" s="445">
        <f t="shared" si="34"/>
        <v>9420852.8513671402</v>
      </c>
      <c r="Q57" s="445">
        <f t="shared" si="42"/>
        <v>11734512.087642023</v>
      </c>
      <c r="R57" s="445">
        <f t="shared" si="35"/>
        <v>21155364.939009164</v>
      </c>
      <c r="S57" s="449">
        <f t="shared" si="23"/>
        <v>7.3491099999999998E-3</v>
      </c>
      <c r="T57" s="450"/>
      <c r="U57" s="451">
        <v>7.3816801723253665E-3</v>
      </c>
      <c r="V57" s="451">
        <f t="shared" si="24"/>
        <v>-3.2570172325366645E-5</v>
      </c>
      <c r="W57" s="423">
        <f t="shared" si="36"/>
        <v>450000</v>
      </c>
      <c r="X57" s="452">
        <f t="shared" si="37"/>
        <v>9420852.8513671402</v>
      </c>
      <c r="Y57" s="422">
        <v>7.3816801723253665E-3</v>
      </c>
      <c r="Z57" s="401"/>
      <c r="AA57" s="449">
        <v>7.1964100000000003E-3</v>
      </c>
      <c r="AB57" s="420">
        <v>0.71964099999999998</v>
      </c>
      <c r="AC57" s="459">
        <f t="shared" si="28"/>
        <v>1.5269999999999954E-4</v>
      </c>
      <c r="AD57" s="455">
        <v>3034083.81</v>
      </c>
      <c r="AE57" s="455">
        <f t="shared" si="56"/>
        <v>3098463.7759193643</v>
      </c>
      <c r="AF57" s="455">
        <f t="shared" si="25"/>
        <v>64379.965919364244</v>
      </c>
      <c r="AG57" s="455">
        <v>673703.68</v>
      </c>
      <c r="AH57" s="455">
        <f t="shared" si="43"/>
        <v>687998.9351429611</v>
      </c>
      <c r="AI57" s="455">
        <f t="shared" si="44"/>
        <v>14295.255142961047</v>
      </c>
      <c r="AJ57" s="455">
        <v>928118.48</v>
      </c>
      <c r="AK57" s="455">
        <f t="shared" si="45"/>
        <v>947812.1432621514</v>
      </c>
      <c r="AL57" s="455">
        <f t="shared" si="46"/>
        <v>19693.663262151415</v>
      </c>
      <c r="AM57" s="455">
        <v>731635.05</v>
      </c>
      <c r="AN57" s="455">
        <f t="shared" si="47"/>
        <v>747159.54946819448</v>
      </c>
      <c r="AO57" s="455">
        <f t="shared" si="48"/>
        <v>15524.499468194437</v>
      </c>
      <c r="AP57" s="455">
        <v>542245.96</v>
      </c>
      <c r="AQ57" s="456">
        <f t="shared" si="49"/>
        <v>553751.82979302586</v>
      </c>
      <c r="AR57" s="456">
        <f t="shared" si="26"/>
        <v>11505.869793025893</v>
      </c>
      <c r="AS57" s="456">
        <f t="shared" si="50"/>
        <v>5909786.9800000004</v>
      </c>
      <c r="AT57" s="457">
        <f t="shared" si="33"/>
        <v>125399.25358569704</v>
      </c>
      <c r="AU57" s="458">
        <f t="shared" si="51"/>
        <v>5595077.584766712</v>
      </c>
      <c r="AV57" s="455"/>
      <c r="AW57" s="455">
        <f t="shared" si="52"/>
        <v>-314709.39523328841</v>
      </c>
      <c r="AX57" s="459">
        <f t="shared" si="53"/>
        <v>1.5269999999999954E-4</v>
      </c>
      <c r="AY57" s="460"/>
      <c r="AZ57" s="461">
        <v>5367541.0199999996</v>
      </c>
      <c r="BA57" s="462"/>
      <c r="BB57" s="460">
        <f t="shared" si="54"/>
        <v>734911</v>
      </c>
      <c r="BC57" s="460">
        <f t="shared" si="30"/>
        <v>125399.25358569704</v>
      </c>
      <c r="BD57" s="460">
        <f t="shared" si="27"/>
        <v>860310.25358569704</v>
      </c>
    </row>
    <row r="58" spans="1:56" ht="15.75" x14ac:dyDescent="0.2">
      <c r="A58" s="417" t="s">
        <v>44</v>
      </c>
      <c r="B58" s="440">
        <f>'State Population'!I49</f>
        <v>178605</v>
      </c>
      <c r="C58" s="441">
        <f t="shared" si="38"/>
        <v>4.5274870595063462E-3</v>
      </c>
      <c r="D58" s="442">
        <f>'Poverty-Uninsured Population'!E47</f>
        <v>5.3274321309387685E-3</v>
      </c>
      <c r="E58" s="441">
        <f>Prevalence!J47</f>
        <v>5.4552029653738357E-3</v>
      </c>
      <c r="F58" s="442">
        <f t="shared" si="31"/>
        <v>4.9530137621095708E-3</v>
      </c>
      <c r="G58" s="443">
        <f>'Self Suff. Calc'!F49</f>
        <v>0.91706547254023674</v>
      </c>
      <c r="H58" s="442">
        <f t="shared" si="32"/>
        <v>4.7887034197646658E-3</v>
      </c>
      <c r="I58" s="442">
        <f t="shared" si="55"/>
        <v>4.5704788758985388E-3</v>
      </c>
      <c r="J58" s="442">
        <f>'Resources-new'!M49</f>
        <v>5.0802221978863129E-3</v>
      </c>
      <c r="K58" s="442">
        <f>'[1]Allocation 2021-22'!K51</f>
        <v>4.1780000000000003E-3</v>
      </c>
      <c r="L58" s="444">
        <f t="shared" si="39"/>
        <v>4.1282604800580392E-3</v>
      </c>
      <c r="M58" s="445">
        <f t="shared" si="40"/>
        <v>5321119.8070855634</v>
      </c>
      <c r="N58" s="447"/>
      <c r="O58" s="447">
        <f t="shared" si="41"/>
        <v>0</v>
      </c>
      <c r="P58" s="445">
        <f t="shared" si="34"/>
        <v>5321119.8070855634</v>
      </c>
      <c r="Q58" s="445">
        <f t="shared" si="42"/>
        <v>7717344.6179189822</v>
      </c>
      <c r="R58" s="445">
        <f t="shared" si="35"/>
        <v>13038464.425004546</v>
      </c>
      <c r="S58" s="449">
        <f t="shared" si="23"/>
        <v>4.5294000000000003E-3</v>
      </c>
      <c r="T58" s="450"/>
      <c r="U58" s="451">
        <v>4.8546517591547848E-3</v>
      </c>
      <c r="V58" s="451">
        <f t="shared" si="24"/>
        <v>-3.2525175915478453E-4</v>
      </c>
      <c r="W58" s="423">
        <f t="shared" si="36"/>
        <v>450000</v>
      </c>
      <c r="X58" s="452">
        <f t="shared" si="37"/>
        <v>5321119.8070855634</v>
      </c>
      <c r="Y58" s="422">
        <v>4.8546517591547848E-3</v>
      </c>
      <c r="Z58" s="401"/>
      <c r="AA58" s="449">
        <v>4.8031100000000002E-3</v>
      </c>
      <c r="AB58" s="420">
        <v>0.48031099999999999</v>
      </c>
      <c r="AC58" s="459">
        <f t="shared" si="28"/>
        <v>-2.7370999999999993E-4</v>
      </c>
      <c r="AD58" s="455">
        <v>2025042.81</v>
      </c>
      <c r="AE58" s="455">
        <f t="shared" si="56"/>
        <v>1909643.7291929456</v>
      </c>
      <c r="AF58" s="455">
        <f t="shared" si="25"/>
        <v>-115399.08080705442</v>
      </c>
      <c r="AG58" s="455">
        <v>449650.99</v>
      </c>
      <c r="AH58" s="455">
        <f t="shared" si="43"/>
        <v>424027.17837078613</v>
      </c>
      <c r="AI58" s="455">
        <f t="shared" si="44"/>
        <v>-25623.811629213858</v>
      </c>
      <c r="AJ58" s="455">
        <v>619455.41</v>
      </c>
      <c r="AK58" s="455">
        <f t="shared" si="45"/>
        <v>584155.13194000209</v>
      </c>
      <c r="AL58" s="455">
        <f t="shared" si="46"/>
        <v>-35300.278059997945</v>
      </c>
      <c r="AM58" s="455">
        <v>488316.2</v>
      </c>
      <c r="AN58" s="455">
        <f t="shared" si="47"/>
        <v>460489.02021622215</v>
      </c>
      <c r="AO58" s="455">
        <f t="shared" si="48"/>
        <v>-27827.179783777858</v>
      </c>
      <c r="AP58" s="455">
        <v>361911.98</v>
      </c>
      <c r="AQ58" s="456">
        <f t="shared" si="49"/>
        <v>341288.06588342419</v>
      </c>
      <c r="AR58" s="456">
        <f t="shared" si="26"/>
        <v>-20623.91411657579</v>
      </c>
      <c r="AS58" s="456">
        <f t="shared" si="50"/>
        <v>3944377.39</v>
      </c>
      <c r="AT58" s="457">
        <f t="shared" si="33"/>
        <v>-224774.26439661987</v>
      </c>
      <c r="AU58" s="458">
        <f t="shared" si="51"/>
        <v>3448355.5712790182</v>
      </c>
      <c r="AV58" s="455"/>
      <c r="AW58" s="455">
        <f t="shared" si="52"/>
        <v>-496021.81872098194</v>
      </c>
      <c r="AX58" s="459">
        <f t="shared" si="53"/>
        <v>-2.7370999999999993E-4</v>
      </c>
      <c r="AY58" s="460"/>
      <c r="AZ58" s="461">
        <v>3582465.41</v>
      </c>
      <c r="BA58" s="462"/>
      <c r="BB58" s="460">
        <f t="shared" si="54"/>
        <v>452940</v>
      </c>
      <c r="BC58" s="460">
        <f t="shared" si="30"/>
        <v>-224774.26439661987</v>
      </c>
      <c r="BD58" s="460">
        <f t="shared" si="27"/>
        <v>228165.73560338013</v>
      </c>
    </row>
    <row r="59" spans="1:56" ht="15.75" x14ac:dyDescent="0.2">
      <c r="A59" s="417" t="s">
        <v>45</v>
      </c>
      <c r="B59" s="440">
        <f>'State Population'!I50</f>
        <v>3207</v>
      </c>
      <c r="C59" s="441">
        <f t="shared" si="38"/>
        <v>8.1294762183795825E-5</v>
      </c>
      <c r="D59" s="442">
        <f>'Poverty-Uninsured Population'!E48</f>
        <v>8.4040130661900274E-5</v>
      </c>
      <c r="E59" s="441">
        <f>Prevalence!J48</f>
        <v>7.142211373293554E-5</v>
      </c>
      <c r="F59" s="442">
        <f t="shared" si="31"/>
        <v>8.0143843037055104E-5</v>
      </c>
      <c r="G59" s="443">
        <f>'Self Suff. Calc'!F50</f>
        <v>0.85961072192666421</v>
      </c>
      <c r="H59" s="442">
        <f t="shared" si="32"/>
        <v>7.5643308530657153E-5</v>
      </c>
      <c r="I59" s="442">
        <f t="shared" si="55"/>
        <v>7.2196190374937546E-5</v>
      </c>
      <c r="J59" s="442">
        <f>'Resources-new'!M50</f>
        <v>5.5894122507123582E-4</v>
      </c>
      <c r="K59" s="442">
        <f>'[1]Allocation 2021-22'!K52</f>
        <v>5.5000000000000002E-5</v>
      </c>
      <c r="L59" s="444">
        <f t="shared" si="39"/>
        <v>5.4345219340160877E-5</v>
      </c>
      <c r="M59" s="445">
        <f t="shared" si="40"/>
        <v>70048.25021295021</v>
      </c>
      <c r="N59" s="447"/>
      <c r="O59" s="447">
        <f t="shared" si="41"/>
        <v>0</v>
      </c>
      <c r="P59" s="445">
        <f t="shared" si="34"/>
        <v>70048.25021295021</v>
      </c>
      <c r="Q59" s="445">
        <f t="shared" si="42"/>
        <v>1481244.897506255</v>
      </c>
      <c r="R59" s="445">
        <f t="shared" si="35"/>
        <v>1551293.1477192051</v>
      </c>
      <c r="S59" s="449">
        <f t="shared" si="23"/>
        <v>5.3890000000000003E-4</v>
      </c>
      <c r="T59" s="450"/>
      <c r="U59" s="451">
        <v>9.3178787567955686E-4</v>
      </c>
      <c r="V59" s="451">
        <f t="shared" si="24"/>
        <v>-3.9288787567955683E-4</v>
      </c>
      <c r="W59" s="423">
        <f t="shared" si="36"/>
        <v>350000</v>
      </c>
      <c r="X59" s="452">
        <f t="shared" si="37"/>
        <v>70048.25021295021</v>
      </c>
      <c r="Y59" s="422">
        <v>9.3178787567955686E-4</v>
      </c>
      <c r="Z59" s="401"/>
      <c r="AA59" s="449">
        <v>7.7652999999999999E-4</v>
      </c>
      <c r="AB59" s="420">
        <v>7.7653E-2</v>
      </c>
      <c r="AC59" s="459">
        <f t="shared" si="28"/>
        <v>-2.3762999999999996E-4</v>
      </c>
      <c r="AD59" s="455">
        <v>327393.40000000002</v>
      </c>
      <c r="AE59" s="455">
        <f t="shared" si="56"/>
        <v>227206.03295405096</v>
      </c>
      <c r="AF59" s="455">
        <f t="shared" si="25"/>
        <v>-100187.36704594907</v>
      </c>
      <c r="AG59" s="455">
        <v>72696.12</v>
      </c>
      <c r="AH59" s="455">
        <f t="shared" si="43"/>
        <v>50450.00362609102</v>
      </c>
      <c r="AI59" s="455">
        <f t="shared" si="44"/>
        <v>-22246.116373908975</v>
      </c>
      <c r="AJ59" s="455">
        <v>100148.8</v>
      </c>
      <c r="AK59" s="455">
        <f t="shared" si="45"/>
        <v>69501.744293387004</v>
      </c>
      <c r="AL59" s="455">
        <f t="shared" si="46"/>
        <v>-30647.055706612999</v>
      </c>
      <c r="AM59" s="455">
        <v>78947.22</v>
      </c>
      <c r="AN59" s="455">
        <f t="shared" si="47"/>
        <v>54788.169071957018</v>
      </c>
      <c r="AO59" s="455">
        <f t="shared" si="48"/>
        <v>-24159.050928042983</v>
      </c>
      <c r="AP59" s="455">
        <v>58511.15</v>
      </c>
      <c r="AQ59" s="456">
        <f t="shared" si="49"/>
        <v>40605.850378544026</v>
      </c>
      <c r="AR59" s="456">
        <f t="shared" si="26"/>
        <v>-17905.299621455975</v>
      </c>
      <c r="AS59" s="456">
        <f t="shared" si="50"/>
        <v>637696.69000000006</v>
      </c>
      <c r="AT59" s="457">
        <f t="shared" si="33"/>
        <v>-195144.88967596999</v>
      </c>
      <c r="AU59" s="458">
        <f t="shared" si="51"/>
        <v>410279.24611698306</v>
      </c>
      <c r="AV59" s="455"/>
      <c r="AW59" s="455">
        <f t="shared" si="52"/>
        <v>-227417.443883017</v>
      </c>
      <c r="AX59" s="459">
        <f t="shared" si="53"/>
        <v>-2.3762999999999996E-4</v>
      </c>
      <c r="AY59" s="460"/>
      <c r="AZ59" s="461">
        <v>579185.54</v>
      </c>
      <c r="BA59" s="462"/>
      <c r="BB59" s="460">
        <f t="shared" si="54"/>
        <v>53890</v>
      </c>
      <c r="BC59" s="460">
        <f t="shared" si="30"/>
        <v>-195144.88967596999</v>
      </c>
      <c r="BD59" s="460">
        <f t="shared" si="27"/>
        <v>-141254.88967596999</v>
      </c>
    </row>
    <row r="60" spans="1:56" ht="15.75" x14ac:dyDescent="0.2">
      <c r="A60" s="417" t="s">
        <v>46</v>
      </c>
      <c r="B60" s="440">
        <f>'State Population'!I51</f>
        <v>44688</v>
      </c>
      <c r="C60" s="441">
        <f t="shared" si="38"/>
        <v>1.1328033465760735E-3</v>
      </c>
      <c r="D60" s="442">
        <f>'Poverty-Uninsured Population'!E49</f>
        <v>1.4513238488340194E-3</v>
      </c>
      <c r="E60" s="441">
        <f>Prevalence!J49</f>
        <v>1.3986077208209022E-3</v>
      </c>
      <c r="F60" s="442">
        <f t="shared" si="31"/>
        <v>1.2815203721024231E-3</v>
      </c>
      <c r="G60" s="443">
        <f>'Self Suff. Calc'!F51</f>
        <v>0.81340444934339518</v>
      </c>
      <c r="H60" s="442">
        <f t="shared" si="32"/>
        <v>1.1858699722983794E-3</v>
      </c>
      <c r="I60" s="442">
        <f t="shared" si="55"/>
        <v>1.1318290532635422E-3</v>
      </c>
      <c r="J60" s="442">
        <f>'Resources-new'!M51</f>
        <v>1.6581769841231299E-3</v>
      </c>
      <c r="K60" s="442">
        <f>'[1]Allocation 2021-22'!K53</f>
        <v>9.8799999999999995E-4</v>
      </c>
      <c r="L60" s="444">
        <f t="shared" si="39"/>
        <v>9.7623775832870812E-4</v>
      </c>
      <c r="M60" s="445">
        <f t="shared" si="40"/>
        <v>1258321.294734451</v>
      </c>
      <c r="N60" s="447"/>
      <c r="O60" s="447">
        <f t="shared" si="41"/>
        <v>0</v>
      </c>
      <c r="P60" s="445">
        <f t="shared" si="34"/>
        <v>1258321.294734451</v>
      </c>
      <c r="Q60" s="445">
        <f t="shared" si="42"/>
        <v>2753282.7052392247</v>
      </c>
      <c r="R60" s="445">
        <f t="shared" si="35"/>
        <v>4011603.9999736757</v>
      </c>
      <c r="S60" s="449">
        <f t="shared" si="23"/>
        <v>1.3935799999999999E-3</v>
      </c>
      <c r="T60" s="450"/>
      <c r="U60" s="451">
        <v>1.7319725100010258E-3</v>
      </c>
      <c r="V60" s="451">
        <f t="shared" si="24"/>
        <v>-3.3839251000102586E-4</v>
      </c>
      <c r="W60" s="423">
        <f t="shared" si="36"/>
        <v>450000</v>
      </c>
      <c r="X60" s="452">
        <f t="shared" si="37"/>
        <v>1258321.294734451</v>
      </c>
      <c r="Y60" s="422">
        <v>1.7319725100010258E-3</v>
      </c>
      <c r="Z60" s="401"/>
      <c r="AA60" s="449">
        <v>1.57635E-3</v>
      </c>
      <c r="AB60" s="420">
        <v>0.157635</v>
      </c>
      <c r="AC60" s="459">
        <f t="shared" si="28"/>
        <v>-1.8277000000000007E-4</v>
      </c>
      <c r="AD60" s="455">
        <v>664606.11</v>
      </c>
      <c r="AE60" s="455">
        <f t="shared" si="56"/>
        <v>587548.3084136321</v>
      </c>
      <c r="AF60" s="455">
        <f t="shared" si="25"/>
        <v>-77057.801586367888</v>
      </c>
      <c r="AG60" s="455">
        <v>147572.57999999999</v>
      </c>
      <c r="AH60" s="455">
        <f t="shared" si="43"/>
        <v>130462.26768092024</v>
      </c>
      <c r="AI60" s="455">
        <f t="shared" si="44"/>
        <v>-17110.312319079749</v>
      </c>
      <c r="AJ60" s="455">
        <v>203301.31</v>
      </c>
      <c r="AK60" s="455">
        <f t="shared" si="45"/>
        <v>179729.52461009141</v>
      </c>
      <c r="AL60" s="455">
        <f t="shared" si="46"/>
        <v>-23571.785389908589</v>
      </c>
      <c r="AM60" s="455">
        <v>160262.26</v>
      </c>
      <c r="AN60" s="455">
        <f t="shared" si="47"/>
        <v>141680.63955334542</v>
      </c>
      <c r="AO60" s="455">
        <f t="shared" si="48"/>
        <v>-18581.62044665459</v>
      </c>
      <c r="AP60" s="455">
        <v>118777.2</v>
      </c>
      <c r="AQ60" s="456">
        <f t="shared" si="49"/>
        <v>105005.56869647685</v>
      </c>
      <c r="AR60" s="456">
        <f t="shared" si="26"/>
        <v>-13771.631303523143</v>
      </c>
      <c r="AS60" s="456">
        <f t="shared" si="50"/>
        <v>1294519.46</v>
      </c>
      <c r="AT60" s="457">
        <f t="shared" si="33"/>
        <v>-150093.15104553394</v>
      </c>
      <c r="AU60" s="458">
        <f t="shared" si="51"/>
        <v>1060970.4060191226</v>
      </c>
      <c r="AV60" s="455"/>
      <c r="AW60" s="455">
        <f t="shared" si="52"/>
        <v>-233549.05398087739</v>
      </c>
      <c r="AX60" s="459">
        <f t="shared" si="53"/>
        <v>-1.8277000000000007E-4</v>
      </c>
      <c r="AY60" s="460"/>
      <c r="AZ60" s="461">
        <v>1175742.26</v>
      </c>
      <c r="BA60" s="462"/>
      <c r="BB60" s="460">
        <f t="shared" si="54"/>
        <v>139358</v>
      </c>
      <c r="BC60" s="460">
        <f t="shared" si="30"/>
        <v>-150093.15104553394</v>
      </c>
      <c r="BD60" s="460">
        <f t="shared" si="27"/>
        <v>-10735.151045533945</v>
      </c>
    </row>
    <row r="61" spans="1:56" ht="15.75" x14ac:dyDescent="0.2">
      <c r="A61" s="417" t="s">
        <v>47</v>
      </c>
      <c r="B61" s="440">
        <f>'State Population'!I52</f>
        <v>436023</v>
      </c>
      <c r="C61" s="441">
        <f t="shared" si="38"/>
        <v>1.1052817615112318E-2</v>
      </c>
      <c r="D61" s="442">
        <f>'Poverty-Uninsured Population'!E50</f>
        <v>8.4932137472436518E-3</v>
      </c>
      <c r="E61" s="441">
        <f>Prevalence!J50</f>
        <v>7.7280535213814306E-3</v>
      </c>
      <c r="F61" s="442">
        <f t="shared" si="31"/>
        <v>9.6199836360055403E-3</v>
      </c>
      <c r="G61" s="443">
        <f>'Self Suff. Calc'!F52</f>
        <v>1.0682128357610661</v>
      </c>
      <c r="H61" s="442">
        <f t="shared" si="32"/>
        <v>9.8824661815203364E-3</v>
      </c>
      <c r="I61" s="442">
        <f t="shared" si="55"/>
        <v>9.4321153275013416E-3</v>
      </c>
      <c r="J61" s="442">
        <f>'Resources-new'!M52</f>
        <v>1.01355602631429E-2</v>
      </c>
      <c r="K61" s="442">
        <f>'[1]Allocation 2021-22'!K54</f>
        <v>9.1959999999999993E-3</v>
      </c>
      <c r="L61" s="444">
        <f t="shared" si="39"/>
        <v>9.0865206736748978E-3</v>
      </c>
      <c r="M61" s="445">
        <f t="shared" si="40"/>
        <v>11712067.435605275</v>
      </c>
      <c r="N61" s="447"/>
      <c r="O61" s="447">
        <f t="shared" si="41"/>
        <v>0</v>
      </c>
      <c r="P61" s="445">
        <f t="shared" si="34"/>
        <v>11712067.435605275</v>
      </c>
      <c r="Q61" s="445">
        <f t="shared" si="42"/>
        <v>16090846.156529861</v>
      </c>
      <c r="R61" s="445">
        <f t="shared" si="35"/>
        <v>27802913.592135135</v>
      </c>
      <c r="S61" s="449">
        <f t="shared" si="23"/>
        <v>9.6583799999999994E-3</v>
      </c>
      <c r="T61" s="450"/>
      <c r="U61" s="451">
        <v>1.012206380141553E-2</v>
      </c>
      <c r="V61" s="451">
        <f t="shared" si="24"/>
        <v>-4.6368380141553062E-4</v>
      </c>
      <c r="W61" s="423">
        <f t="shared" si="36"/>
        <v>450000</v>
      </c>
      <c r="X61" s="452">
        <f t="shared" si="37"/>
        <v>11712067.435605275</v>
      </c>
      <c r="Y61" s="422">
        <v>1.012206380141553E-2</v>
      </c>
      <c r="Z61" s="401"/>
      <c r="AA61" s="449">
        <v>9.8763700000000006E-3</v>
      </c>
      <c r="AB61" s="420">
        <v>0.98763699999999999</v>
      </c>
      <c r="AC61" s="459">
        <f t="shared" si="28"/>
        <v>-2.1799000000000124E-4</v>
      </c>
      <c r="AD61" s="455">
        <v>4163983.76</v>
      </c>
      <c r="AE61" s="455">
        <f t="shared" si="56"/>
        <v>4072076.831625063</v>
      </c>
      <c r="AF61" s="455">
        <f t="shared" si="25"/>
        <v>-91906.928374936804</v>
      </c>
      <c r="AG61" s="455">
        <v>924592.51</v>
      </c>
      <c r="AH61" s="455">
        <f t="shared" si="43"/>
        <v>904185.01766963245</v>
      </c>
      <c r="AI61" s="455">
        <f t="shared" si="44"/>
        <v>-20407.49233036756</v>
      </c>
      <c r="AJ61" s="455">
        <v>1273751.98</v>
      </c>
      <c r="AK61" s="455">
        <f t="shared" si="45"/>
        <v>1245637.8865250754</v>
      </c>
      <c r="AL61" s="455">
        <f t="shared" si="46"/>
        <v>-28114.093474924564</v>
      </c>
      <c r="AM61" s="455">
        <v>1004097.66</v>
      </c>
      <c r="AN61" s="455">
        <f t="shared" si="47"/>
        <v>981935.34310856962</v>
      </c>
      <c r="AO61" s="455">
        <f t="shared" si="48"/>
        <v>-22162.316891430411</v>
      </c>
      <c r="AP61" s="455">
        <v>744179.63</v>
      </c>
      <c r="AQ61" s="456">
        <f t="shared" si="49"/>
        <v>727754.19034908514</v>
      </c>
      <c r="AR61" s="456">
        <f t="shared" si="26"/>
        <v>-16425.439650914865</v>
      </c>
      <c r="AS61" s="456">
        <f t="shared" si="50"/>
        <v>8110605.54</v>
      </c>
      <c r="AT61" s="457">
        <f t="shared" si="33"/>
        <v>-179016.27072257421</v>
      </c>
      <c r="AU61" s="458">
        <f t="shared" si="51"/>
        <v>7353187.7252019783</v>
      </c>
      <c r="AV61" s="455"/>
      <c r="AW61" s="455">
        <f t="shared" si="52"/>
        <v>-757417.81479802169</v>
      </c>
      <c r="AX61" s="459">
        <f t="shared" si="53"/>
        <v>-2.1799000000000124E-4</v>
      </c>
      <c r="AY61" s="460"/>
      <c r="AZ61" s="461">
        <v>7366425.9100000001</v>
      </c>
      <c r="BA61" s="462"/>
      <c r="BB61" s="460">
        <f t="shared" si="54"/>
        <v>965837.99999999988</v>
      </c>
      <c r="BC61" s="460">
        <f t="shared" si="30"/>
        <v>-179016.27072257421</v>
      </c>
      <c r="BD61" s="460">
        <f t="shared" si="27"/>
        <v>786821.72927742568</v>
      </c>
    </row>
    <row r="62" spans="1:56" ht="15.75" x14ac:dyDescent="0.2">
      <c r="A62" s="417" t="s">
        <v>48</v>
      </c>
      <c r="B62" s="440">
        <f>'State Population'!I53</f>
        <v>505120</v>
      </c>
      <c r="C62" s="441">
        <f t="shared" si="38"/>
        <v>1.2804368654280932E-2</v>
      </c>
      <c r="D62" s="442">
        <f>'Poverty-Uninsured Population'!E51</f>
        <v>1.061786359290811E-2</v>
      </c>
      <c r="E62" s="441">
        <f>Prevalence!J51</f>
        <v>8.1846126028388023E-3</v>
      </c>
      <c r="F62" s="442">
        <f t="shared" si="31"/>
        <v>1.122446592558066E-2</v>
      </c>
      <c r="G62" s="443">
        <f>'Self Suff. Calc'!F53</f>
        <v>1.0979405459192104</v>
      </c>
      <c r="H62" s="442">
        <f t="shared" si="32"/>
        <v>1.1664198053741838E-2</v>
      </c>
      <c r="I62" s="442">
        <f t="shared" si="55"/>
        <v>1.1132652439675166E-2</v>
      </c>
      <c r="J62" s="442">
        <f>'Resources-new'!M53</f>
        <v>1.0004844094319466E-2</v>
      </c>
      <c r="K62" s="442">
        <f>'[1]Allocation 2021-22'!K55</f>
        <v>1.0931E-2</v>
      </c>
      <c r="L62" s="444">
        <f t="shared" si="39"/>
        <v>1.0800865320132701E-2</v>
      </c>
      <c r="M62" s="445">
        <f t="shared" si="40"/>
        <v>13921771.328686522</v>
      </c>
      <c r="N62" s="447"/>
      <c r="O62" s="447">
        <f t="shared" si="41"/>
        <v>0</v>
      </c>
      <c r="P62" s="445">
        <f t="shared" si="34"/>
        <v>13921771.328686522</v>
      </c>
      <c r="Q62" s="445">
        <f t="shared" si="42"/>
        <v>18079699.526728429</v>
      </c>
      <c r="R62" s="445">
        <f t="shared" si="35"/>
        <v>32001470.855414949</v>
      </c>
      <c r="S62" s="449">
        <f t="shared" si="23"/>
        <v>1.1116910000000001E-2</v>
      </c>
      <c r="T62" s="450"/>
      <c r="U62" s="451">
        <v>1.1373166478613191E-2</v>
      </c>
      <c r="V62" s="451">
        <f t="shared" si="24"/>
        <v>-2.5625647861319059E-4</v>
      </c>
      <c r="W62" s="423">
        <f t="shared" si="36"/>
        <v>450000</v>
      </c>
      <c r="X62" s="452">
        <f t="shared" si="37"/>
        <v>13921771.328686522</v>
      </c>
      <c r="Y62" s="422">
        <v>1.1373166478613191E-2</v>
      </c>
      <c r="Z62" s="401"/>
      <c r="AA62" s="449">
        <v>1.1231430000000001E-2</v>
      </c>
      <c r="AB62" s="420">
        <v>1.123143</v>
      </c>
      <c r="AC62" s="459">
        <f t="shared" si="28"/>
        <v>-1.145199999999999E-4</v>
      </c>
      <c r="AD62" s="455">
        <v>4735291.62</v>
      </c>
      <c r="AE62" s="455">
        <f t="shared" si="56"/>
        <v>4687008.7582245665</v>
      </c>
      <c r="AF62" s="455">
        <f t="shared" si="25"/>
        <v>-48282.861775433645</v>
      </c>
      <c r="AG62" s="455">
        <v>1051448.6599999999</v>
      </c>
      <c r="AH62" s="455">
        <f t="shared" si="43"/>
        <v>1040727.6856762433</v>
      </c>
      <c r="AI62" s="455">
        <f t="shared" si="44"/>
        <v>-10720.974323756644</v>
      </c>
      <c r="AJ62" s="455">
        <v>1448513.59</v>
      </c>
      <c r="AK62" s="455">
        <f t="shared" si="45"/>
        <v>1433743.9898916255</v>
      </c>
      <c r="AL62" s="455">
        <f t="shared" si="46"/>
        <v>-14769.600108374609</v>
      </c>
      <c r="AM62" s="455">
        <v>1141862.1000000001</v>
      </c>
      <c r="AN62" s="455">
        <f t="shared" si="47"/>
        <v>1130219.2329518087</v>
      </c>
      <c r="AO62" s="455">
        <f t="shared" si="48"/>
        <v>-11642.867048191372</v>
      </c>
      <c r="AP62" s="455">
        <v>846282.74</v>
      </c>
      <c r="AQ62" s="456">
        <f t="shared" si="49"/>
        <v>837653.70965251408</v>
      </c>
      <c r="AR62" s="456">
        <f t="shared" si="26"/>
        <v>-8629.0303474859102</v>
      </c>
      <c r="AS62" s="456">
        <f t="shared" si="50"/>
        <v>9223398.7100000009</v>
      </c>
      <c r="AT62" s="457">
        <f t="shared" si="33"/>
        <v>-94045.333603242179</v>
      </c>
      <c r="AU62" s="458">
        <f t="shared" si="51"/>
        <v>8463606.3350349776</v>
      </c>
      <c r="AV62" s="455"/>
      <c r="AW62" s="455">
        <f t="shared" si="52"/>
        <v>-759792.37496502325</v>
      </c>
      <c r="AX62" s="459">
        <f t="shared" si="53"/>
        <v>-1.145199999999999E-4</v>
      </c>
      <c r="AY62" s="460"/>
      <c r="AZ62" s="461">
        <v>8377115.9699999997</v>
      </c>
      <c r="BA62" s="462"/>
      <c r="BB62" s="460">
        <f t="shared" si="54"/>
        <v>1111691</v>
      </c>
      <c r="BC62" s="460">
        <f t="shared" si="30"/>
        <v>-94045.333603242179</v>
      </c>
      <c r="BD62" s="460">
        <f t="shared" si="27"/>
        <v>1017645.6663967578</v>
      </c>
    </row>
    <row r="63" spans="1:56" ht="15.75" x14ac:dyDescent="0.2">
      <c r="A63" s="417" t="s">
        <v>49</v>
      </c>
      <c r="B63" s="440">
        <f>'State Population'!I54</f>
        <v>548057</v>
      </c>
      <c r="C63" s="441">
        <f t="shared" si="38"/>
        <v>1.3892785618386213E-2</v>
      </c>
      <c r="D63" s="442">
        <f>'Poverty-Uninsured Population'!E52</f>
        <v>1.7060357682413062E-2</v>
      </c>
      <c r="E63" s="441">
        <f>Prevalence!J52</f>
        <v>1.6211915739987343E-2</v>
      </c>
      <c r="F63" s="442">
        <f t="shared" si="31"/>
        <v>1.5306883261914492E-2</v>
      </c>
      <c r="G63" s="443">
        <f>'Self Suff. Calc'!F54</f>
        <v>0.87613999467311376</v>
      </c>
      <c r="H63" s="442">
        <f t="shared" si="32"/>
        <v>1.454851900497099E-2</v>
      </c>
      <c r="I63" s="442">
        <f t="shared" si="55"/>
        <v>1.3885532880024564E-2</v>
      </c>
      <c r="J63" s="442">
        <f>'Resources-new'!M54</f>
        <v>1.2880923283307359E-2</v>
      </c>
      <c r="K63" s="442">
        <f>'[1]Allocation 2021-22'!K56</f>
        <v>1.3741E-2</v>
      </c>
      <c r="L63" s="444">
        <f t="shared" si="39"/>
        <v>1.3577411980966375E-2</v>
      </c>
      <c r="M63" s="445">
        <f t="shared" si="40"/>
        <v>17500600.112293616</v>
      </c>
      <c r="N63" s="447"/>
      <c r="O63" s="447">
        <f t="shared" si="41"/>
        <v>0</v>
      </c>
      <c r="P63" s="445">
        <f t="shared" si="34"/>
        <v>17500600.112293616</v>
      </c>
      <c r="Q63" s="445">
        <f t="shared" si="42"/>
        <v>20492185.024153028</v>
      </c>
      <c r="R63" s="445">
        <f t="shared" si="35"/>
        <v>37992785.13644664</v>
      </c>
      <c r="S63" s="449">
        <f t="shared" si="23"/>
        <v>1.319822E-2</v>
      </c>
      <c r="T63" s="450"/>
      <c r="U63" s="451">
        <v>1.2890758026464253E-2</v>
      </c>
      <c r="V63" s="451">
        <f t="shared" si="24"/>
        <v>3.07461973535747E-4</v>
      </c>
      <c r="W63" s="423">
        <f t="shared" si="36"/>
        <v>450000</v>
      </c>
      <c r="X63" s="452">
        <f t="shared" si="37"/>
        <v>17500600.112293616</v>
      </c>
      <c r="Y63" s="422">
        <v>1.2890758026464253E-2</v>
      </c>
      <c r="Z63" s="401"/>
      <c r="AA63" s="449">
        <v>1.30825E-2</v>
      </c>
      <c r="AB63" s="465">
        <v>1.3082499999999999</v>
      </c>
      <c r="AC63" s="459">
        <f t="shared" si="28"/>
        <v>1.1571999999999971E-4</v>
      </c>
      <c r="AD63" s="455">
        <v>5515722.6299999999</v>
      </c>
      <c r="AE63" s="455">
        <f t="shared" si="56"/>
        <v>5564511.4274537284</v>
      </c>
      <c r="AF63" s="455">
        <f t="shared" si="25"/>
        <v>48788.797453728504</v>
      </c>
      <c r="AG63" s="455">
        <v>1224739.6000000001</v>
      </c>
      <c r="AH63" s="455">
        <f t="shared" si="43"/>
        <v>1235572.9205009222</v>
      </c>
      <c r="AI63" s="455">
        <f t="shared" si="44"/>
        <v>10833.320500922156</v>
      </c>
      <c r="AJ63" s="455">
        <v>1687245.44</v>
      </c>
      <c r="AK63" s="455">
        <f t="shared" si="45"/>
        <v>1702169.8117793028</v>
      </c>
      <c r="AL63" s="455">
        <f t="shared" si="46"/>
        <v>14924.371779302834</v>
      </c>
      <c r="AM63" s="455">
        <v>1330054.23</v>
      </c>
      <c r="AN63" s="455">
        <f t="shared" si="47"/>
        <v>1341819.092241389</v>
      </c>
      <c r="AO63" s="455">
        <f t="shared" si="48"/>
        <v>11764.862241388997</v>
      </c>
      <c r="AP63" s="455">
        <v>985759.95</v>
      </c>
      <c r="AQ63" s="456">
        <f t="shared" si="49"/>
        <v>994479.3961460517</v>
      </c>
      <c r="AR63" s="456">
        <f t="shared" si="26"/>
        <v>8719.4461460517487</v>
      </c>
      <c r="AS63" s="456">
        <f t="shared" si="50"/>
        <v>10743521.85</v>
      </c>
      <c r="AT63" s="457">
        <f t="shared" si="33"/>
        <v>95030.79812139424</v>
      </c>
      <c r="AU63" s="458">
        <f t="shared" si="51"/>
        <v>10048164.319328424</v>
      </c>
      <c r="AV63" s="455"/>
      <c r="AW63" s="455">
        <f t="shared" si="52"/>
        <v>-695357.53067157604</v>
      </c>
      <c r="AX63" s="459">
        <f t="shared" si="53"/>
        <v>1.1571999999999971E-4</v>
      </c>
      <c r="AY63" s="460"/>
      <c r="AZ63" s="461">
        <v>9757761.9000000004</v>
      </c>
      <c r="BA63" s="462"/>
      <c r="BB63" s="460">
        <f t="shared" si="54"/>
        <v>1319822</v>
      </c>
      <c r="BC63" s="460">
        <f t="shared" si="30"/>
        <v>95030.79812139424</v>
      </c>
      <c r="BD63" s="460">
        <f t="shared" si="27"/>
        <v>1414852.7981213941</v>
      </c>
    </row>
    <row r="64" spans="1:56" s="404" customFormat="1" ht="15.75" x14ac:dyDescent="0.2">
      <c r="A64" s="466" t="s">
        <v>709</v>
      </c>
      <c r="B64" s="440">
        <f>'State Population'!I55</f>
        <v>96956</v>
      </c>
      <c r="C64" s="467">
        <f t="shared" si="38"/>
        <v>2.4577533402844113E-3</v>
      </c>
      <c r="D64" s="442">
        <f>'Poverty-Uninsured Population'!E53</f>
        <v>5.4993805852357261E-3</v>
      </c>
      <c r="E64" s="467">
        <f>Prevalence!J53</f>
        <v>3.0295633306211011E-3</v>
      </c>
      <c r="F64" s="468">
        <f t="shared" si="31"/>
        <v>3.4846035118371436E-3</v>
      </c>
      <c r="G64" s="469">
        <f>'Self Suff. Calc'!F55</f>
        <v>0.84375588693571013</v>
      </c>
      <c r="H64" s="468">
        <f t="shared" si="32"/>
        <v>3.2668239978020618E-3</v>
      </c>
      <c r="I64" s="468">
        <f t="shared" si="55"/>
        <v>3.117952557180185E-3</v>
      </c>
      <c r="J64" s="468">
        <f>'Resources-new'!M55</f>
        <v>5.4033518929818081E-3</v>
      </c>
      <c r="K64" s="442">
        <f>'[1]Allocation 2021-22'!K57</f>
        <v>4.2269999999999999E-3</v>
      </c>
      <c r="L64" s="470">
        <f t="shared" si="39"/>
        <v>4.1766771300156364E-3</v>
      </c>
      <c r="M64" s="471">
        <f t="shared" si="40"/>
        <v>5383526.4300025543</v>
      </c>
      <c r="N64" s="472"/>
      <c r="O64" s="472">
        <f t="shared" si="41"/>
        <v>0</v>
      </c>
      <c r="P64" s="471">
        <f t="shared" si="34"/>
        <v>5383526.4300025543</v>
      </c>
      <c r="Q64" s="445">
        <f t="shared" si="42"/>
        <v>7599614.6734012039</v>
      </c>
      <c r="R64" s="445">
        <f t="shared" si="35"/>
        <v>12983141.103403758</v>
      </c>
      <c r="S64" s="449">
        <f t="shared" si="23"/>
        <v>4.5101799999999999E-3</v>
      </c>
      <c r="T64" s="450"/>
      <c r="U64" s="473">
        <v>4.7805928813211621E-3</v>
      </c>
      <c r="V64" s="473">
        <f t="shared" si="24"/>
        <v>-2.7041288132116214E-4</v>
      </c>
      <c r="W64" s="474">
        <f t="shared" si="36"/>
        <v>450000</v>
      </c>
      <c r="X64" s="475">
        <f t="shared" si="37"/>
        <v>5383526.4300025543</v>
      </c>
      <c r="Y64" s="476">
        <v>2.5260026669401991E-3</v>
      </c>
      <c r="Z64" s="403"/>
      <c r="AA64" s="449">
        <v>4.4047499999999998E-3</v>
      </c>
      <c r="AB64" s="419">
        <v>0.44047500000000001</v>
      </c>
      <c r="AC64" s="459">
        <f t="shared" si="28"/>
        <v>1.0543000000000011E-4</v>
      </c>
      <c r="AD64" s="455">
        <v>1857089.95</v>
      </c>
      <c r="AE64" s="455">
        <f t="shared" si="56"/>
        <v>1901540.3705858258</v>
      </c>
      <c r="AF64" s="455">
        <f t="shared" si="25"/>
        <v>44450.420585825806</v>
      </c>
      <c r="AG64" s="455">
        <v>412357.87</v>
      </c>
      <c r="AH64" s="455">
        <f t="shared" si="43"/>
        <v>422227.86668087431</v>
      </c>
      <c r="AI64" s="455">
        <f t="shared" si="44"/>
        <v>9869.9966808743193</v>
      </c>
      <c r="AJ64" s="455">
        <v>568079.06999999995</v>
      </c>
      <c r="AK64" s="455">
        <f t="shared" si="45"/>
        <v>581676.33527026942</v>
      </c>
      <c r="AL64" s="455">
        <f t="shared" si="46"/>
        <v>13597.265270269476</v>
      </c>
      <c r="AM64" s="455">
        <v>447816.27</v>
      </c>
      <c r="AN64" s="455">
        <f t="shared" si="47"/>
        <v>458534.98679710348</v>
      </c>
      <c r="AO64" s="455">
        <f t="shared" si="48"/>
        <v>10718.716797103465</v>
      </c>
      <c r="AP64" s="455">
        <v>331895.75</v>
      </c>
      <c r="AQ64" s="456">
        <f t="shared" si="49"/>
        <v>339839.84832121298</v>
      </c>
      <c r="AR64" s="456">
        <f t="shared" si="26"/>
        <v>7944.0983212129795</v>
      </c>
      <c r="AS64" s="456">
        <f t="shared" si="50"/>
        <v>3617238.9099999997</v>
      </c>
      <c r="AT64" s="457">
        <f t="shared" si="33"/>
        <v>86580.497655286046</v>
      </c>
      <c r="AU64" s="458">
        <f t="shared" si="51"/>
        <v>3433722.8618517248</v>
      </c>
      <c r="AV64" s="455"/>
      <c r="AW64" s="455">
        <f t="shared" si="52"/>
        <v>-183516.04814827489</v>
      </c>
      <c r="AX64" s="459">
        <f t="shared" si="53"/>
        <v>1.0543000000000011E-4</v>
      </c>
      <c r="AY64" s="460"/>
      <c r="AZ64" s="461">
        <v>3285343.16</v>
      </c>
      <c r="BA64" s="462"/>
      <c r="BB64" s="460">
        <f t="shared" si="54"/>
        <v>451018</v>
      </c>
      <c r="BC64" s="460">
        <f t="shared" si="30"/>
        <v>86580.497655286046</v>
      </c>
      <c r="BD64" s="460">
        <f t="shared" si="27"/>
        <v>537598.49765528599</v>
      </c>
    </row>
    <row r="65" spans="1:56" ht="15.75" x14ac:dyDescent="0.2">
      <c r="A65" s="417" t="s">
        <v>50</v>
      </c>
      <c r="B65" s="440">
        <f>'State Population'!I56</f>
        <v>63995</v>
      </c>
      <c r="C65" s="441">
        <f t="shared" si="38"/>
        <v>1.6222196152017505E-3</v>
      </c>
      <c r="D65" s="442">
        <f>'Poverty-Uninsured Population'!E54</f>
        <v>2.0916832362620624E-3</v>
      </c>
      <c r="E65" s="441">
        <f>Prevalence!J54</f>
        <v>2.0911310008136699E-3</v>
      </c>
      <c r="F65" s="442">
        <f t="shared" si="31"/>
        <v>1.8568409786422278E-3</v>
      </c>
      <c r="G65" s="443">
        <f>'Self Suff. Calc'!F56</f>
        <v>0.8193124167320136</v>
      </c>
      <c r="H65" s="442">
        <f t="shared" si="32"/>
        <v>1.722637735064697E-3</v>
      </c>
      <c r="I65" s="442">
        <f t="shared" si="55"/>
        <v>1.6441359359285238E-3</v>
      </c>
      <c r="J65" s="442">
        <f>'Resources-new'!M56</f>
        <v>1.938246056700894E-3</v>
      </c>
      <c r="K65" s="442">
        <f>'[1]Allocation 2021-22'!K58</f>
        <v>1.6130000000000001E-3</v>
      </c>
      <c r="L65" s="444">
        <f t="shared" si="39"/>
        <v>1.5937970690123545E-3</v>
      </c>
      <c r="M65" s="445">
        <f t="shared" si="40"/>
        <v>2054324.1380634308</v>
      </c>
      <c r="N65" s="447"/>
      <c r="O65" s="447">
        <f t="shared" si="41"/>
        <v>0</v>
      </c>
      <c r="P65" s="445">
        <f t="shared" si="34"/>
        <v>2054324.1380634308</v>
      </c>
      <c r="Q65" s="445">
        <f t="shared" si="42"/>
        <v>3189633.5799339339</v>
      </c>
      <c r="R65" s="445">
        <f t="shared" si="35"/>
        <v>5243957.7179973647</v>
      </c>
      <c r="S65" s="449">
        <f t="shared" si="23"/>
        <v>1.8216899999999999E-3</v>
      </c>
      <c r="T65" s="450"/>
      <c r="U65" s="451">
        <v>2.0064622012514106E-3</v>
      </c>
      <c r="V65" s="451">
        <f t="shared" si="24"/>
        <v>-1.8477220125141065E-4</v>
      </c>
      <c r="W65" s="423">
        <f t="shared" si="36"/>
        <v>450000</v>
      </c>
      <c r="X65" s="452">
        <f t="shared" si="37"/>
        <v>2054324.1380634308</v>
      </c>
      <c r="Y65" s="422">
        <v>2.0064622012514106E-3</v>
      </c>
      <c r="Z65" s="401"/>
      <c r="AA65" s="449">
        <v>1.93085E-3</v>
      </c>
      <c r="AB65" s="420">
        <v>0.19308500000000001</v>
      </c>
      <c r="AC65" s="459">
        <f t="shared" si="28"/>
        <v>-1.0916000000000007E-4</v>
      </c>
      <c r="AD65" s="455">
        <v>814067.12</v>
      </c>
      <c r="AE65" s="455">
        <f t="shared" si="56"/>
        <v>768044.08642060694</v>
      </c>
      <c r="AF65" s="455">
        <f t="shared" si="25"/>
        <v>-46023.033579393057</v>
      </c>
      <c r="AG65" s="455">
        <v>180759.67999999999</v>
      </c>
      <c r="AH65" s="455">
        <f t="shared" si="43"/>
        <v>170540.48451589115</v>
      </c>
      <c r="AI65" s="455">
        <f t="shared" si="44"/>
        <v>-10219.195484108845</v>
      </c>
      <c r="AJ65" s="455">
        <v>249021.05</v>
      </c>
      <c r="AK65" s="455">
        <f t="shared" si="45"/>
        <v>234942.72139881272</v>
      </c>
      <c r="AL65" s="455">
        <f t="shared" si="46"/>
        <v>-14078.32860118727</v>
      </c>
      <c r="AM65" s="455">
        <v>196303.09</v>
      </c>
      <c r="AN65" s="455">
        <f t="shared" si="47"/>
        <v>185205.15813080975</v>
      </c>
      <c r="AO65" s="455">
        <f t="shared" si="48"/>
        <v>-11097.931869190244</v>
      </c>
      <c r="AP65" s="455">
        <v>145488.6</v>
      </c>
      <c r="AQ65" s="456">
        <f t="shared" si="49"/>
        <v>137263.44697734248</v>
      </c>
      <c r="AR65" s="456">
        <f t="shared" si="26"/>
        <v>-8225.1530226575269</v>
      </c>
      <c r="AS65" s="456">
        <f t="shared" si="50"/>
        <v>1585639.5400000003</v>
      </c>
      <c r="AT65" s="457">
        <f t="shared" si="33"/>
        <v>-89643.642556536943</v>
      </c>
      <c r="AU65" s="458">
        <f t="shared" si="51"/>
        <v>1386902.2079399643</v>
      </c>
      <c r="AV65" s="455"/>
      <c r="AW65" s="455">
        <f t="shared" si="52"/>
        <v>-198737.33206003602</v>
      </c>
      <c r="AX65" s="459">
        <f t="shared" si="53"/>
        <v>-1.0916000000000007E-4</v>
      </c>
      <c r="AY65" s="460"/>
      <c r="AZ65" s="461">
        <v>1440150.94</v>
      </c>
      <c r="BA65" s="462"/>
      <c r="BB65" s="460">
        <f t="shared" si="54"/>
        <v>182169</v>
      </c>
      <c r="BC65" s="460">
        <f t="shared" si="30"/>
        <v>-89643.642556536943</v>
      </c>
      <c r="BD65" s="460">
        <f t="shared" si="27"/>
        <v>92525.357443463057</v>
      </c>
    </row>
    <row r="66" spans="1:56" ht="15.75" x14ac:dyDescent="0.2">
      <c r="A66" s="417" t="s">
        <v>51</v>
      </c>
      <c r="B66" s="440">
        <f>'State Population'!I57</f>
        <v>13628</v>
      </c>
      <c r="C66" s="441">
        <f t="shared" si="38"/>
        <v>3.4545837824782335E-4</v>
      </c>
      <c r="D66" s="442">
        <f>'Poverty-Uninsured Population'!E55</f>
        <v>4.2393413683119161E-4</v>
      </c>
      <c r="E66" s="441">
        <f>Prevalence!J55</f>
        <v>4.3576530150980927E-4</v>
      </c>
      <c r="F66" s="442">
        <f t="shared" ref="F66:F70" si="57">(C66*C$8)+(D66*D$8)+(E66*E$8)</f>
        <v>3.8706249047523104E-4</v>
      </c>
      <c r="G66" s="443">
        <f>'Self Suff. Calc'!F57</f>
        <v>0.8785812666685342</v>
      </c>
      <c r="H66" s="442">
        <f t="shared" ref="H66:H70" si="58">(F66*G66*G$8)+(F66*(1-G$8))</f>
        <v>3.6826383554978102E-4</v>
      </c>
      <c r="I66" s="442">
        <f t="shared" si="55"/>
        <v>3.5148179655284712E-4</v>
      </c>
      <c r="J66" s="442">
        <f>'Resources-new'!M58</f>
        <v>8.5896221495662325E-4</v>
      </c>
      <c r="K66" s="442">
        <f>'[1]Allocation 2021-22'!K59</f>
        <v>2.5599999999999999E-4</v>
      </c>
      <c r="L66" s="444">
        <f t="shared" si="39"/>
        <v>2.5295229365602151E-4</v>
      </c>
      <c r="M66" s="445">
        <f t="shared" si="40"/>
        <v>326042.76462755003</v>
      </c>
      <c r="N66" s="447"/>
      <c r="O66" s="447">
        <f t="shared" si="41"/>
        <v>0</v>
      </c>
      <c r="P66" s="445">
        <f t="shared" si="34"/>
        <v>326042.76462755003</v>
      </c>
      <c r="Q66" s="445">
        <f t="shared" si="42"/>
        <v>1637783.3278900071</v>
      </c>
      <c r="R66" s="445">
        <f t="shared" si="35"/>
        <v>1963826.0925175571</v>
      </c>
      <c r="S66" s="449">
        <f t="shared" si="23"/>
        <v>6.8221000000000004E-4</v>
      </c>
      <c r="T66" s="450"/>
      <c r="U66" s="451">
        <v>1.0302595137962867E-3</v>
      </c>
      <c r="V66" s="451">
        <f t="shared" si="24"/>
        <v>-3.4804951379628667E-4</v>
      </c>
      <c r="W66" s="423">
        <f t="shared" si="36"/>
        <v>350000</v>
      </c>
      <c r="X66" s="452">
        <f t="shared" si="37"/>
        <v>326042.76462755003</v>
      </c>
      <c r="Y66" s="422">
        <v>1.0302595137962867E-3</v>
      </c>
      <c r="Z66" s="401"/>
      <c r="AA66" s="449">
        <v>8.9477000000000003E-4</v>
      </c>
      <c r="AB66" s="420">
        <v>8.9477000000000001E-2</v>
      </c>
      <c r="AC66" s="459">
        <f t="shared" si="28"/>
        <v>-2.1255999999999998E-4</v>
      </c>
      <c r="AD66" s="455">
        <v>377244.65</v>
      </c>
      <c r="AE66" s="455">
        <f t="shared" si="56"/>
        <v>287627.06947779388</v>
      </c>
      <c r="AF66" s="455">
        <f t="shared" si="25"/>
        <v>-89617.580522206146</v>
      </c>
      <c r="AG66" s="455">
        <v>83765.350000000006</v>
      </c>
      <c r="AH66" s="455">
        <f t="shared" si="43"/>
        <v>63866.20332854992</v>
      </c>
      <c r="AI66" s="455">
        <f t="shared" si="44"/>
        <v>-19899.146671450086</v>
      </c>
      <c r="AJ66" s="455">
        <v>115398.17</v>
      </c>
      <c r="AK66" s="455">
        <f t="shared" si="45"/>
        <v>87984.384810524309</v>
      </c>
      <c r="AL66" s="455">
        <f t="shared" si="46"/>
        <v>-27413.78518947569</v>
      </c>
      <c r="AM66" s="455">
        <v>90968.29</v>
      </c>
      <c r="AN66" s="455">
        <f t="shared" si="47"/>
        <v>69358.019711597328</v>
      </c>
      <c r="AO66" s="455">
        <f t="shared" si="48"/>
        <v>-21610.270288402666</v>
      </c>
      <c r="AP66" s="455">
        <v>67420.479999999996</v>
      </c>
      <c r="AQ66" s="456">
        <f t="shared" si="49"/>
        <v>51404.188507601626</v>
      </c>
      <c r="AR66" s="456">
        <f t="shared" si="26"/>
        <v>-16016.29149239837</v>
      </c>
      <c r="AS66" s="456">
        <f t="shared" si="50"/>
        <v>734796.94000000006</v>
      </c>
      <c r="AT66" s="457">
        <f t="shared" si="33"/>
        <v>-174557.07416393294</v>
      </c>
      <c r="AU66" s="458">
        <f t="shared" si="51"/>
        <v>519385.05194556876</v>
      </c>
      <c r="AV66" s="455"/>
      <c r="AW66" s="455">
        <f t="shared" si="52"/>
        <v>-215411.8880544313</v>
      </c>
      <c r="AX66" s="459">
        <f t="shared" si="53"/>
        <v>-2.1255999999999998E-4</v>
      </c>
      <c r="AY66" s="460"/>
      <c r="AZ66" s="461">
        <v>667376.46</v>
      </c>
      <c r="BA66" s="462"/>
      <c r="BB66" s="460">
        <f t="shared" si="54"/>
        <v>68221</v>
      </c>
      <c r="BC66" s="460">
        <f t="shared" si="30"/>
        <v>-174557.07416393294</v>
      </c>
      <c r="BD66" s="460">
        <f t="shared" si="27"/>
        <v>-106336.07416393294</v>
      </c>
    </row>
    <row r="67" spans="1:56" ht="15.75" x14ac:dyDescent="0.2">
      <c r="A67" s="417" t="s">
        <v>52</v>
      </c>
      <c r="B67" s="440">
        <f>'State Population'!I58</f>
        <v>471842</v>
      </c>
      <c r="C67" s="441">
        <f t="shared" si="38"/>
        <v>1.1960799244878886E-2</v>
      </c>
      <c r="D67" s="442">
        <f>'Poverty-Uninsured Population'!E56</f>
        <v>1.8031790923897655E-2</v>
      </c>
      <c r="E67" s="441">
        <f>Prevalence!J56</f>
        <v>1.9302052255673087E-2</v>
      </c>
      <c r="F67" s="442">
        <f t="shared" si="57"/>
        <v>1.5250347350743355E-2</v>
      </c>
      <c r="G67" s="443">
        <f>'Self Suff. Calc'!F58</f>
        <v>0.75694439383253287</v>
      </c>
      <c r="H67" s="442">
        <f t="shared" si="58"/>
        <v>1.3767674382903612E-2</v>
      </c>
      <c r="I67" s="442">
        <f t="shared" si="55"/>
        <v>1.3140271890215069E-2</v>
      </c>
      <c r="J67" s="442">
        <f>'Resources-new'!M59</f>
        <v>1.4248316329424785E-2</v>
      </c>
      <c r="K67" s="442">
        <f>'[1]Allocation 2021-22'!K60</f>
        <v>1.3034E-2</v>
      </c>
      <c r="L67" s="444">
        <f t="shared" si="39"/>
        <v>1.2878828888721034E-2</v>
      </c>
      <c r="M67" s="445">
        <f t="shared" si="40"/>
        <v>16600161.695919873</v>
      </c>
      <c r="N67" s="447"/>
      <c r="O67" s="447">
        <f t="shared" si="41"/>
        <v>0</v>
      </c>
      <c r="P67" s="445">
        <f t="shared" si="34"/>
        <v>16600161.695919873</v>
      </c>
      <c r="Q67" s="445">
        <f t="shared" si="42"/>
        <v>19402449.263471134</v>
      </c>
      <c r="R67" s="445">
        <f t="shared" si="35"/>
        <v>36002610.959391005</v>
      </c>
      <c r="S67" s="449">
        <f t="shared" si="23"/>
        <v>1.250686E-2</v>
      </c>
      <c r="T67" s="450"/>
      <c r="U67" s="451">
        <v>1.2205251820699559E-2</v>
      </c>
      <c r="V67" s="451">
        <f t="shared" si="24"/>
        <v>3.016081793004409E-4</v>
      </c>
      <c r="W67" s="423">
        <f t="shared" si="36"/>
        <v>450000</v>
      </c>
      <c r="X67" s="452">
        <f t="shared" si="37"/>
        <v>16600161.695919873</v>
      </c>
      <c r="Y67" s="422">
        <v>1.2205251820699559E-2</v>
      </c>
      <c r="Z67" s="401"/>
      <c r="AA67" s="449">
        <v>1.2182419999999999E-2</v>
      </c>
      <c r="AB67" s="420">
        <v>1.218242</v>
      </c>
      <c r="AC67" s="459">
        <f t="shared" si="28"/>
        <v>3.2444000000000049E-4</v>
      </c>
      <c r="AD67" s="455">
        <v>5136239.2300000004</v>
      </c>
      <c r="AE67" s="455">
        <f t="shared" si="56"/>
        <v>5273026.6196171865</v>
      </c>
      <c r="AF67" s="455">
        <f t="shared" si="25"/>
        <v>136787.38961718604</v>
      </c>
      <c r="AG67" s="455">
        <v>1140477.1399999999</v>
      </c>
      <c r="AH67" s="455">
        <f t="shared" si="43"/>
        <v>1170850.1249786837</v>
      </c>
      <c r="AI67" s="455">
        <f t="shared" si="44"/>
        <v>30372.984978683759</v>
      </c>
      <c r="AJ67" s="455">
        <v>1571162.44</v>
      </c>
      <c r="AK67" s="455">
        <f t="shared" si="45"/>
        <v>1613005.354672834</v>
      </c>
      <c r="AL67" s="455">
        <f t="shared" si="46"/>
        <v>41842.9146728341</v>
      </c>
      <c r="AM67" s="455">
        <v>1238546.0900000001</v>
      </c>
      <c r="AN67" s="455">
        <f t="shared" si="47"/>
        <v>1271530.8224889522</v>
      </c>
      <c r="AO67" s="455">
        <f t="shared" si="48"/>
        <v>32984.732488952111</v>
      </c>
      <c r="AP67" s="455">
        <v>917939.36</v>
      </c>
      <c r="AQ67" s="456">
        <f t="shared" si="49"/>
        <v>942385.75963146612</v>
      </c>
      <c r="AR67" s="456">
        <f t="shared" si="26"/>
        <v>24446.399631466134</v>
      </c>
      <c r="AS67" s="456">
        <f t="shared" si="50"/>
        <v>10004364.26</v>
      </c>
      <c r="AT67" s="457">
        <f t="shared" si="33"/>
        <v>266434.42138912214</v>
      </c>
      <c r="AU67" s="458">
        <f t="shared" si="51"/>
        <v>9521813.1231966037</v>
      </c>
      <c r="AV67" s="455"/>
      <c r="AW67" s="455">
        <f t="shared" si="52"/>
        <v>-482551.13680339605</v>
      </c>
      <c r="AX67" s="459">
        <f t="shared" si="53"/>
        <v>3.2444000000000049E-4</v>
      </c>
      <c r="AY67" s="460"/>
      <c r="AZ67" s="461">
        <v>9086424.9000000004</v>
      </c>
      <c r="BA67" s="462"/>
      <c r="BB67" s="460">
        <f t="shared" si="54"/>
        <v>1250686</v>
      </c>
      <c r="BC67" s="460">
        <f t="shared" si="30"/>
        <v>266434.42138912214</v>
      </c>
      <c r="BD67" s="460">
        <f t="shared" si="27"/>
        <v>1517120.421389122</v>
      </c>
    </row>
    <row r="68" spans="1:56" ht="15.75" x14ac:dyDescent="0.2">
      <c r="A68" s="417" t="s">
        <v>53</v>
      </c>
      <c r="B68" s="440">
        <f>'State Population'!I59</f>
        <v>54707</v>
      </c>
      <c r="C68" s="441">
        <f t="shared" si="38"/>
        <v>1.3867765995599995E-3</v>
      </c>
      <c r="D68" s="442">
        <f>'Poverty-Uninsured Population'!E57</f>
        <v>1.2725264578328792E-3</v>
      </c>
      <c r="E68" s="441">
        <f>Prevalence!J57</f>
        <v>1.2367778681855166E-3</v>
      </c>
      <c r="F68" s="442">
        <f t="shared" si="57"/>
        <v>1.3225018107669668E-3</v>
      </c>
      <c r="G68" s="443">
        <f>'Self Suff. Calc'!F59</f>
        <v>0.91835046545152221</v>
      </c>
      <c r="H68" s="442">
        <f t="shared" si="58"/>
        <v>1.2793091478515101E-3</v>
      </c>
      <c r="I68" s="442">
        <f t="shared" si="55"/>
        <v>1.2210101406293465E-3</v>
      </c>
      <c r="J68" s="442">
        <f>'Resources-new'!M60</f>
        <v>1.4874660437640549E-3</v>
      </c>
      <c r="K68" s="442">
        <f>'[1]Allocation 2021-22'!K61</f>
        <v>1.073E-3</v>
      </c>
      <c r="L68" s="444">
        <f t="shared" si="39"/>
        <v>1.0602258245816841E-3</v>
      </c>
      <c r="M68" s="445">
        <f t="shared" si="40"/>
        <v>1366577.6814271924</v>
      </c>
      <c r="N68" s="447"/>
      <c r="O68" s="447">
        <f t="shared" si="41"/>
        <v>0</v>
      </c>
      <c r="P68" s="445">
        <f t="shared" si="34"/>
        <v>1366577.6814271924</v>
      </c>
      <c r="Q68" s="445">
        <f t="shared" si="42"/>
        <v>3048096.7491286248</v>
      </c>
      <c r="R68" s="445">
        <f t="shared" si="35"/>
        <v>4414674.4305558167</v>
      </c>
      <c r="S68" s="449">
        <f t="shared" si="23"/>
        <v>1.5336E-3</v>
      </c>
      <c r="T68" s="450"/>
      <c r="U68" s="451">
        <v>1.9174274284542005E-3</v>
      </c>
      <c r="V68" s="451">
        <f t="shared" si="24"/>
        <v>-3.838274284542005E-4</v>
      </c>
      <c r="W68" s="423">
        <f t="shared" si="36"/>
        <v>450000</v>
      </c>
      <c r="X68" s="452">
        <f t="shared" si="37"/>
        <v>1366577.6814271924</v>
      </c>
      <c r="Y68" s="422">
        <v>1.9174274284542005E-3</v>
      </c>
      <c r="Z68" s="401"/>
      <c r="AA68" s="449">
        <v>1.74099E-3</v>
      </c>
      <c r="AB68" s="420">
        <v>0.174099</v>
      </c>
      <c r="AC68" s="459">
        <f t="shared" si="28"/>
        <v>-2.0739E-4</v>
      </c>
      <c r="AD68" s="455">
        <v>734020.1</v>
      </c>
      <c r="AE68" s="455">
        <f t="shared" si="56"/>
        <v>646582.2455712239</v>
      </c>
      <c r="AF68" s="455">
        <f t="shared" si="25"/>
        <v>-87437.854428776074</v>
      </c>
      <c r="AG68" s="455">
        <v>162985.62</v>
      </c>
      <c r="AH68" s="455">
        <f t="shared" si="43"/>
        <v>143570.46866018404</v>
      </c>
      <c r="AI68" s="455">
        <f t="shared" si="44"/>
        <v>-19415.151339815959</v>
      </c>
      <c r="AJ68" s="455">
        <v>224534.87</v>
      </c>
      <c r="AK68" s="455">
        <f t="shared" si="45"/>
        <v>197787.85497928801</v>
      </c>
      <c r="AL68" s="455">
        <f t="shared" si="46"/>
        <v>-26747.015020711988</v>
      </c>
      <c r="AM68" s="455">
        <v>177000.66</v>
      </c>
      <c r="AN68" s="455">
        <f t="shared" si="47"/>
        <v>155916.00684496804</v>
      </c>
      <c r="AO68" s="455">
        <f t="shared" si="48"/>
        <v>-21084.653155031963</v>
      </c>
      <c r="AP68" s="455">
        <v>131182.74</v>
      </c>
      <c r="AQ68" s="456">
        <f t="shared" si="49"/>
        <v>115556.00694105605</v>
      </c>
      <c r="AR68" s="456">
        <f t="shared" si="26"/>
        <v>-15626.733058943937</v>
      </c>
      <c r="AS68" s="456">
        <f t="shared" si="50"/>
        <v>1429723.9899999998</v>
      </c>
      <c r="AT68" s="457">
        <f t="shared" si="33"/>
        <v>-170311.40700327992</v>
      </c>
      <c r="AU68" s="458">
        <f t="shared" si="51"/>
        <v>1167571.445249592</v>
      </c>
      <c r="AV68" s="455"/>
      <c r="AW68" s="455">
        <f t="shared" si="52"/>
        <v>-262152.5447504078</v>
      </c>
      <c r="AX68" s="459">
        <f t="shared" si="53"/>
        <v>-2.0739E-4</v>
      </c>
      <c r="AY68" s="460"/>
      <c r="AZ68" s="461">
        <v>1298541.25</v>
      </c>
      <c r="BA68" s="462"/>
      <c r="BB68" s="460">
        <f t="shared" si="54"/>
        <v>153360</v>
      </c>
      <c r="BC68" s="460">
        <f t="shared" si="30"/>
        <v>-170311.40700327992</v>
      </c>
      <c r="BD68" s="460">
        <f t="shared" si="27"/>
        <v>-16951.407003279921</v>
      </c>
    </row>
    <row r="69" spans="1:56" ht="15.75" x14ac:dyDescent="0.2">
      <c r="A69" s="417" t="s">
        <v>54</v>
      </c>
      <c r="B69" s="440">
        <f>'State Population'!I60</f>
        <v>857386</v>
      </c>
      <c r="C69" s="441">
        <f t="shared" si="38"/>
        <v>2.173401651690551E-2</v>
      </c>
      <c r="D69" s="442">
        <f>'Poverty-Uninsured Population'!E58</f>
        <v>1.701289826752218E-2</v>
      </c>
      <c r="E69" s="441">
        <f>Prevalence!J58</f>
        <v>1.5963294458005605E-2</v>
      </c>
      <c r="F69" s="442">
        <f t="shared" si="57"/>
        <v>1.9163536630310528E-2</v>
      </c>
      <c r="G69" s="443">
        <f>'Self Suff. Calc'!F60</f>
        <v>1.184955331763383</v>
      </c>
      <c r="H69" s="442">
        <f t="shared" si="58"/>
        <v>2.0581295940398057E-2</v>
      </c>
      <c r="I69" s="442">
        <f t="shared" si="55"/>
        <v>1.9643391976617429E-2</v>
      </c>
      <c r="J69" s="442">
        <f>'Resources-new'!M61</f>
        <v>1.7094422336843693E-2</v>
      </c>
      <c r="K69" s="442">
        <f>'[1]Allocation 2021-22'!K62</f>
        <v>1.916E-2</v>
      </c>
      <c r="L69" s="444">
        <f t="shared" si="39"/>
        <v>1.8931898228317864E-2</v>
      </c>
      <c r="M69" s="445">
        <f t="shared" si="40"/>
        <v>24402263.165093202</v>
      </c>
      <c r="N69" s="447"/>
      <c r="O69" s="447">
        <f t="shared" si="41"/>
        <v>0</v>
      </c>
      <c r="P69" s="445">
        <f t="shared" si="34"/>
        <v>24402263.165093202</v>
      </c>
      <c r="Q69" s="445">
        <f t="shared" si="42"/>
        <v>33098746.617724534</v>
      </c>
      <c r="R69" s="445">
        <f t="shared" si="35"/>
        <v>57501009.782817736</v>
      </c>
      <c r="S69" s="449">
        <f t="shared" si="23"/>
        <v>1.9975130000000001E-2</v>
      </c>
      <c r="T69" s="450"/>
      <c r="U69" s="451">
        <v>2.0821007282798235E-2</v>
      </c>
      <c r="V69" s="451">
        <f t="shared" si="24"/>
        <v>-8.4587728279823457E-4</v>
      </c>
      <c r="W69" s="423">
        <f t="shared" si="36"/>
        <v>450000</v>
      </c>
      <c r="X69" s="452">
        <f t="shared" si="37"/>
        <v>24402263.165093202</v>
      </c>
      <c r="Y69" s="422">
        <v>2.0821007282798235E-2</v>
      </c>
      <c r="Z69" s="401"/>
      <c r="AA69" s="449">
        <v>2.0732380000000002E-2</v>
      </c>
      <c r="AB69" s="420">
        <v>2.0732379999999999</v>
      </c>
      <c r="AC69" s="459">
        <f t="shared" si="28"/>
        <v>-7.5725000000000098E-4</v>
      </c>
      <c r="AD69" s="455">
        <v>8740994.2699999996</v>
      </c>
      <c r="AE69" s="455">
        <f t="shared" si="56"/>
        <v>8421729.5324576944</v>
      </c>
      <c r="AF69" s="455">
        <f t="shared" si="25"/>
        <v>-319264.73754230514</v>
      </c>
      <c r="AG69" s="455">
        <v>1940895.61</v>
      </c>
      <c r="AH69" s="455">
        <f t="shared" si="43"/>
        <v>1870004.4181325652</v>
      </c>
      <c r="AI69" s="455">
        <f t="shared" si="44"/>
        <v>-70891.191867434885</v>
      </c>
      <c r="AJ69" s="455">
        <v>2673847.79</v>
      </c>
      <c r="AK69" s="455">
        <f t="shared" si="45"/>
        <v>2576185.5214087283</v>
      </c>
      <c r="AL69" s="455">
        <f t="shared" si="46"/>
        <v>-97662.268591271713</v>
      </c>
      <c r="AM69" s="455">
        <v>2107792.06</v>
      </c>
      <c r="AN69" s="455">
        <f t="shared" si="47"/>
        <v>2030804.9724889975</v>
      </c>
      <c r="AO69" s="455">
        <f t="shared" si="48"/>
        <v>-76987.087511002552</v>
      </c>
      <c r="AP69" s="455">
        <v>1562174.65</v>
      </c>
      <c r="AQ69" s="456">
        <f t="shared" si="49"/>
        <v>1505116.2369121655</v>
      </c>
      <c r="AR69" s="456">
        <f t="shared" si="26"/>
        <v>-57058.413087834371</v>
      </c>
      <c r="AS69" s="456">
        <f t="shared" si="50"/>
        <v>17025704.379999999</v>
      </c>
      <c r="AT69" s="457">
        <f t="shared" si="33"/>
        <v>-621863.69859984866</v>
      </c>
      <c r="AU69" s="458">
        <f t="shared" si="51"/>
        <v>15207610.461103601</v>
      </c>
      <c r="AV69" s="455"/>
      <c r="AW69" s="455">
        <f t="shared" si="52"/>
        <v>-1818093.9188963976</v>
      </c>
      <c r="AX69" s="459">
        <f t="shared" si="53"/>
        <v>-7.5725000000000098E-4</v>
      </c>
      <c r="AY69" s="460"/>
      <c r="AZ69" s="461">
        <v>15463529.73</v>
      </c>
      <c r="BA69" s="462"/>
      <c r="BB69" s="460">
        <f t="shared" si="54"/>
        <v>1997513</v>
      </c>
      <c r="BC69" s="460">
        <f t="shared" si="30"/>
        <v>-621863.69859984866</v>
      </c>
      <c r="BD69" s="460">
        <f t="shared" si="27"/>
        <v>1375649.3014001513</v>
      </c>
    </row>
    <row r="70" spans="1:56" ht="15.75" x14ac:dyDescent="0.2">
      <c r="A70" s="417" t="s">
        <v>55</v>
      </c>
      <c r="B70" s="440">
        <f>'State Population'!I61</f>
        <v>218896</v>
      </c>
      <c r="C70" s="441">
        <f t="shared" si="38"/>
        <v>5.5488301412485721E-3</v>
      </c>
      <c r="D70" s="442">
        <f>'Poverty-Uninsured Population'!E59</f>
        <v>5.7835514767731076E-3</v>
      </c>
      <c r="E70" s="441">
        <f>Prevalence!J59</f>
        <v>6.5310550583129916E-3</v>
      </c>
      <c r="F70" s="442">
        <f t="shared" si="57"/>
        <v>5.8156915253188167E-3</v>
      </c>
      <c r="G70" s="443">
        <f>'Self Suff. Calc'!F61</f>
        <v>1.0324204081174673</v>
      </c>
      <c r="H70" s="442">
        <f t="shared" si="58"/>
        <v>5.8911103624132693E-3</v>
      </c>
      <c r="I70" s="442">
        <f t="shared" si="55"/>
        <v>5.622648367795564E-3</v>
      </c>
      <c r="J70" s="442">
        <f>'Resources-new'!M62</f>
        <v>4.4850151804400251E-3</v>
      </c>
      <c r="K70" s="442">
        <f>'[1]Allocation 2021-22'!K63</f>
        <v>5.8050000000000003E-3</v>
      </c>
      <c r="L70" s="444">
        <f t="shared" si="39"/>
        <v>5.7358908776297072E-3</v>
      </c>
      <c r="M70" s="445">
        <f t="shared" si="40"/>
        <v>7393274.4088395629</v>
      </c>
      <c r="N70" s="447"/>
      <c r="O70" s="447">
        <f t="shared" si="41"/>
        <v>0</v>
      </c>
      <c r="P70" s="445">
        <f t="shared" si="34"/>
        <v>7393274.4088395629</v>
      </c>
      <c r="Q70" s="445">
        <f t="shared" si="42"/>
        <v>8637823.2007484417</v>
      </c>
      <c r="R70" s="445">
        <f t="shared" si="35"/>
        <v>16031097.609588005</v>
      </c>
      <c r="S70" s="449">
        <f t="shared" si="23"/>
        <v>5.5690000000000002E-3</v>
      </c>
      <c r="T70" s="450"/>
      <c r="U70" s="451">
        <v>5.4336855062057645E-3</v>
      </c>
      <c r="V70" s="451">
        <f t="shared" si="24"/>
        <v>1.3531449379423563E-4</v>
      </c>
      <c r="W70" s="423">
        <f t="shared" si="36"/>
        <v>450000</v>
      </c>
      <c r="X70" s="452">
        <f t="shared" si="37"/>
        <v>7393274.4088395629</v>
      </c>
      <c r="Y70" s="422">
        <v>5.4336855062057645E-3</v>
      </c>
      <c r="Z70" s="401"/>
      <c r="AA70" s="449">
        <v>5.4859699999999997E-3</v>
      </c>
      <c r="AB70" s="420">
        <v>0.548597</v>
      </c>
      <c r="AC70" s="459">
        <f t="shared" si="28"/>
        <v>8.303000000000043E-5</v>
      </c>
      <c r="AD70" s="455">
        <v>2312943.92</v>
      </c>
      <c r="AE70" s="455">
        <f t="shared" si="56"/>
        <v>2347950.2644667095</v>
      </c>
      <c r="AF70" s="455">
        <f t="shared" si="25"/>
        <v>35006.344466709532</v>
      </c>
      <c r="AG70" s="455">
        <v>513578.04</v>
      </c>
      <c r="AH70" s="455">
        <f t="shared" si="43"/>
        <v>521351.03023511014</v>
      </c>
      <c r="AI70" s="455">
        <f t="shared" si="44"/>
        <v>7772.9902351101628</v>
      </c>
      <c r="AJ70" s="455">
        <v>707523.63</v>
      </c>
      <c r="AK70" s="455">
        <f t="shared" si="45"/>
        <v>718231.97990327014</v>
      </c>
      <c r="AL70" s="455">
        <f t="shared" si="46"/>
        <v>10708.349903270137</v>
      </c>
      <c r="AM70" s="455">
        <v>557740.31000000006</v>
      </c>
      <c r="AN70" s="455">
        <f t="shared" si="47"/>
        <v>566181.69152297021</v>
      </c>
      <c r="AO70" s="455">
        <f t="shared" si="48"/>
        <v>8441.3815229701577</v>
      </c>
      <c r="AP70" s="455">
        <v>413365.15</v>
      </c>
      <c r="AQ70" s="456">
        <f t="shared" si="49"/>
        <v>419621.41539824021</v>
      </c>
      <c r="AR70" s="456">
        <f t="shared" si="26"/>
        <v>6256.2653982401825</v>
      </c>
      <c r="AS70" s="456">
        <f t="shared" si="50"/>
        <v>4505151.05</v>
      </c>
      <c r="AT70" s="457">
        <f t="shared" si="33"/>
        <v>68185.331526300171</v>
      </c>
      <c r="AU70" s="458">
        <f t="shared" si="51"/>
        <v>4239831.3631944302</v>
      </c>
      <c r="AV70" s="455"/>
      <c r="AW70" s="455">
        <f t="shared" si="52"/>
        <v>-265319.68680556957</v>
      </c>
      <c r="AX70" s="459">
        <f t="shared" si="53"/>
        <v>8.303000000000043E-5</v>
      </c>
      <c r="AY70" s="460"/>
      <c r="AZ70" s="461">
        <v>4091785.9</v>
      </c>
      <c r="BA70" s="462"/>
      <c r="BB70" s="460">
        <f t="shared" si="54"/>
        <v>556900</v>
      </c>
      <c r="BC70" s="460">
        <f t="shared" si="30"/>
        <v>68185.331526300171</v>
      </c>
      <c r="BD70" s="460">
        <f t="shared" si="27"/>
        <v>625085.33152630017</v>
      </c>
    </row>
    <row r="71" spans="1:56" ht="15.75" x14ac:dyDescent="0.2">
      <c r="A71" s="417" t="s">
        <v>64</v>
      </c>
      <c r="B71" s="442"/>
      <c r="C71" s="442"/>
      <c r="D71" s="442"/>
      <c r="E71" s="441"/>
      <c r="F71" s="442"/>
      <c r="G71" s="443"/>
      <c r="H71" s="442"/>
      <c r="I71" s="442"/>
      <c r="J71" s="442">
        <f>'Resources-new'!M7</f>
        <v>1.7741056163061461E-3</v>
      </c>
      <c r="K71" s="442">
        <f>'[1]Allocation 2021-22'!K65</f>
        <v>2.9584571661461245E-3</v>
      </c>
      <c r="L71" s="444">
        <f t="shared" si="39"/>
        <v>2.9232364291396709E-3</v>
      </c>
      <c r="M71" s="445">
        <f t="shared" si="40"/>
        <v>3767904.5057908967</v>
      </c>
      <c r="N71" s="447"/>
      <c r="O71" s="447">
        <f t="shared" si="41"/>
        <v>0</v>
      </c>
      <c r="P71" s="445">
        <f>M71+N71-O71</f>
        <v>3767904.5057908967</v>
      </c>
      <c r="Q71" s="445">
        <f t="shared" si="42"/>
        <v>4818937.742844821</v>
      </c>
      <c r="R71" s="445">
        <f>P71+Q71</f>
        <v>8586842.2486357167</v>
      </c>
      <c r="S71" s="449">
        <f t="shared" si="23"/>
        <v>2.9829600000000002E-3</v>
      </c>
      <c r="T71" s="450"/>
      <c r="U71" s="451">
        <v>3.0313878346497078E-3</v>
      </c>
      <c r="V71" s="451">
        <f t="shared" si="24"/>
        <v>-4.8427834649707614E-5</v>
      </c>
      <c r="W71" s="423">
        <f>IF(B71&lt;20000,250000+100000,350000+100000)</f>
        <v>350000</v>
      </c>
      <c r="X71" s="452">
        <f>IF(N71=0,M71,0)</f>
        <v>3767904.5057908967</v>
      </c>
      <c r="Y71" s="422">
        <v>3.0313878346497078E-3</v>
      </c>
      <c r="Z71" s="401"/>
      <c r="AA71" s="449">
        <v>3.00644E-3</v>
      </c>
      <c r="AB71" s="420">
        <v>0.30064400000000002</v>
      </c>
      <c r="AC71" s="459">
        <f t="shared" si="28"/>
        <v>-2.3479999999999768E-5</v>
      </c>
      <c r="AD71" s="455">
        <v>1267547.42</v>
      </c>
      <c r="AE71" s="455">
        <f t="shared" si="56"/>
        <v>1257648.0015969863</v>
      </c>
      <c r="AF71" s="455">
        <f t="shared" si="25"/>
        <v>-9899.4184030136093</v>
      </c>
      <c r="AG71" s="455">
        <v>281452.78999999998</v>
      </c>
      <c r="AH71" s="455">
        <f t="shared" si="43"/>
        <v>279254.67214044248</v>
      </c>
      <c r="AI71" s="455">
        <f t="shared" si="44"/>
        <v>-2198.1178595575038</v>
      </c>
      <c r="AJ71" s="455">
        <v>387739.51</v>
      </c>
      <c r="AK71" s="455">
        <f t="shared" si="45"/>
        <v>384711.30665689689</v>
      </c>
      <c r="AL71" s="455">
        <f t="shared" si="46"/>
        <v>-3028.2033431031159</v>
      </c>
      <c r="AM71" s="455">
        <v>305654.75</v>
      </c>
      <c r="AN71" s="455">
        <f t="shared" si="47"/>
        <v>303267.61331394489</v>
      </c>
      <c r="AO71" s="455">
        <f t="shared" si="48"/>
        <v>-2387.1366860551061</v>
      </c>
      <c r="AP71" s="455">
        <v>226533.78</v>
      </c>
      <c r="AQ71" s="456">
        <f t="shared" si="49"/>
        <v>224764.57124732173</v>
      </c>
      <c r="AR71" s="456">
        <f t="shared" si="26"/>
        <v>-1769.2087526782707</v>
      </c>
      <c r="AS71" s="456">
        <f t="shared" si="50"/>
        <v>2468928.2499999995</v>
      </c>
      <c r="AT71" s="457">
        <f t="shared" si="33"/>
        <v>-19282.085044407606</v>
      </c>
      <c r="AU71" s="458">
        <f t="shared" si="51"/>
        <v>2271008.6843516715</v>
      </c>
      <c r="AV71" s="455"/>
      <c r="AW71" s="455">
        <f t="shared" si="52"/>
        <v>-197919.56564832805</v>
      </c>
      <c r="AX71" s="459">
        <f t="shared" si="53"/>
        <v>-2.3479999999999768E-5</v>
      </c>
      <c r="AY71" s="460"/>
      <c r="AZ71" s="461">
        <v>2242394.4700000002</v>
      </c>
      <c r="BA71" s="462"/>
      <c r="BB71" s="460">
        <f t="shared" si="54"/>
        <v>298296</v>
      </c>
      <c r="BC71" s="460">
        <f t="shared" si="30"/>
        <v>-19282.085044407606</v>
      </c>
      <c r="BD71" s="460">
        <f t="shared" si="27"/>
        <v>279013.91495559237</v>
      </c>
    </row>
    <row r="72" spans="1:56" ht="15.75" x14ac:dyDescent="0.2">
      <c r="A72" s="417" t="s">
        <v>65</v>
      </c>
      <c r="B72" s="442"/>
      <c r="C72" s="442"/>
      <c r="D72" s="442"/>
      <c r="E72" s="441"/>
      <c r="F72" s="442"/>
      <c r="G72" s="443"/>
      <c r="H72" s="442"/>
      <c r="I72" s="442"/>
      <c r="J72" s="442">
        <f>'Resources-new'!M57</f>
        <v>3.047119967198115E-3</v>
      </c>
      <c r="K72" s="442">
        <f>'[1]Allocation 2021-22'!K66</f>
        <v>5.5770848728635709E-3</v>
      </c>
      <c r="L72" s="444">
        <f t="shared" si="39"/>
        <v>5.5106891035357096E-3</v>
      </c>
      <c r="M72" s="445">
        <f t="shared" si="40"/>
        <v>7103000.6660583103</v>
      </c>
      <c r="N72" s="447"/>
      <c r="O72" s="447">
        <f t="shared" si="41"/>
        <v>0</v>
      </c>
      <c r="P72" s="445">
        <f>M72+N72-O72</f>
        <v>7103000.6660583103</v>
      </c>
      <c r="Q72" s="445">
        <f t="shared" si="42"/>
        <v>8862358.0118301362</v>
      </c>
      <c r="R72" s="445">
        <f>P72+Q72</f>
        <v>15965358.677888446</v>
      </c>
      <c r="S72" s="449">
        <f t="shared" si="23"/>
        <v>5.5461699999999996E-3</v>
      </c>
      <c r="T72" s="450"/>
      <c r="U72" s="451">
        <v>5.5749307621294495E-3</v>
      </c>
      <c r="V72" s="451">
        <f t="shared" si="24"/>
        <v>-2.8760762129449897E-5</v>
      </c>
      <c r="W72" s="423">
        <f>IF(B72&lt;20000,250000+100000,350000+100000)</f>
        <v>350000</v>
      </c>
      <c r="X72" s="452">
        <f>IF(N72=0,M72,0)</f>
        <v>7103000.6660583103</v>
      </c>
      <c r="Y72" s="422">
        <v>5.5749307621294495E-3</v>
      </c>
      <c r="Z72" s="401"/>
      <c r="AA72" s="449">
        <v>5.6003299999999997E-3</v>
      </c>
      <c r="AB72" s="420">
        <v>0.560033</v>
      </c>
      <c r="AC72" s="459">
        <f t="shared" si="28"/>
        <v>-5.4160000000000146E-5</v>
      </c>
      <c r="AD72" s="455">
        <v>2361159.33</v>
      </c>
      <c r="AE72" s="455">
        <f t="shared" si="56"/>
        <v>2338324.8910535695</v>
      </c>
      <c r="AF72" s="455">
        <f t="shared" si="25"/>
        <v>-22834.438946430571</v>
      </c>
      <c r="AG72" s="455">
        <v>524284.04</v>
      </c>
      <c r="AH72" s="455">
        <f t="shared" si="43"/>
        <v>519213.76249938243</v>
      </c>
      <c r="AI72" s="455">
        <f t="shared" si="44"/>
        <v>-5070.2775006175507</v>
      </c>
      <c r="AJ72" s="455">
        <v>722272.6</v>
      </c>
      <c r="AK72" s="455">
        <f t="shared" si="45"/>
        <v>715287.60279765108</v>
      </c>
      <c r="AL72" s="455">
        <f t="shared" si="46"/>
        <v>-6984.9972023488954</v>
      </c>
      <c r="AM72" s="455">
        <v>569366.91</v>
      </c>
      <c r="AN72" s="455">
        <f t="shared" si="47"/>
        <v>563860.64142107219</v>
      </c>
      <c r="AO72" s="455">
        <f t="shared" si="48"/>
        <v>-5506.2685789278476</v>
      </c>
      <c r="AP72" s="455">
        <v>421982.12</v>
      </c>
      <c r="AQ72" s="456">
        <f t="shared" si="49"/>
        <v>417901.18610868335</v>
      </c>
      <c r="AR72" s="456">
        <f t="shared" si="26"/>
        <v>-4080.933891316643</v>
      </c>
      <c r="AS72" s="456">
        <f t="shared" si="50"/>
        <v>4599065</v>
      </c>
      <c r="AT72" s="457">
        <f t="shared" si="33"/>
        <v>-44476.916119641508</v>
      </c>
      <c r="AU72" s="458">
        <f t="shared" si="51"/>
        <v>4222450.2624543095</v>
      </c>
      <c r="AV72" s="455"/>
      <c r="AW72" s="455">
        <f t="shared" si="52"/>
        <v>-376614.7375456905</v>
      </c>
      <c r="AX72" s="459">
        <f t="shared" si="53"/>
        <v>-5.4160000000000146E-5</v>
      </c>
      <c r="AY72" s="460"/>
      <c r="AZ72" s="461">
        <v>4177082.88</v>
      </c>
      <c r="BA72" s="462"/>
      <c r="BB72" s="460">
        <f t="shared" si="54"/>
        <v>554617</v>
      </c>
      <c r="BC72" s="460">
        <f t="shared" si="30"/>
        <v>-44476.916119641508</v>
      </c>
      <c r="BD72" s="460">
        <f t="shared" si="27"/>
        <v>510140.08388035849</v>
      </c>
    </row>
    <row r="73" spans="1:56" ht="16.5" thickBot="1" x14ac:dyDescent="0.25">
      <c r="A73" s="477" t="s">
        <v>56</v>
      </c>
      <c r="B73" s="478">
        <f>SUM(B14:B72)</f>
        <v>39449036</v>
      </c>
      <c r="C73" s="479">
        <f>SUM(C14:C72)</f>
        <v>1</v>
      </c>
      <c r="D73" s="479">
        <f>SUM(D14:D72)</f>
        <v>0.99999999999999978</v>
      </c>
      <c r="E73" s="479">
        <f>SUM(E14:E72)</f>
        <v>1</v>
      </c>
      <c r="F73" s="479">
        <f>SUM(F14:F72)</f>
        <v>1</v>
      </c>
      <c r="G73" s="479"/>
      <c r="H73" s="479">
        <f t="shared" ref="H73:R73" si="59">SUM(H14:H72)</f>
        <v>1.0477465381181146</v>
      </c>
      <c r="I73" s="479">
        <f t="shared" si="59"/>
        <v>1</v>
      </c>
      <c r="J73" s="479">
        <f t="shared" si="59"/>
        <v>0.99999999999999989</v>
      </c>
      <c r="K73" s="479">
        <f t="shared" si="59"/>
        <v>1.0120485420390095</v>
      </c>
      <c r="L73" s="479">
        <f t="shared" si="59"/>
        <v>1.0000000000000002</v>
      </c>
      <c r="M73" s="514">
        <f t="shared" si="59"/>
        <v>1288949627.2800007</v>
      </c>
      <c r="N73" s="514">
        <f t="shared" si="59"/>
        <v>0</v>
      </c>
      <c r="O73" s="514">
        <f t="shared" si="59"/>
        <v>0</v>
      </c>
      <c r="P73" s="514">
        <f t="shared" si="59"/>
        <v>1288949627.2800007</v>
      </c>
      <c r="Q73" s="515">
        <f t="shared" si="59"/>
        <v>1589680372.7199993</v>
      </c>
      <c r="R73" s="515">
        <f t="shared" si="59"/>
        <v>2878630000.0000005</v>
      </c>
      <c r="S73" s="481">
        <f>ROUND(SUM(S14:S72),8)</f>
        <v>1</v>
      </c>
      <c r="T73" s="482">
        <f t="shared" ref="T73:AA73" si="60">SUM(T14:T72)</f>
        <v>0</v>
      </c>
      <c r="U73" s="482">
        <f t="shared" si="60"/>
        <v>1</v>
      </c>
      <c r="V73" s="482">
        <f t="shared" si="60"/>
        <v>-2.45029690981724E-17</v>
      </c>
      <c r="W73" s="482">
        <f t="shared" si="60"/>
        <v>25550000</v>
      </c>
      <c r="X73" s="482">
        <f t="shared" si="60"/>
        <v>1288949627.2800007</v>
      </c>
      <c r="Y73" s="482">
        <f t="shared" si="60"/>
        <v>0.9977454097856191</v>
      </c>
      <c r="Z73" s="482">
        <f t="shared" si="60"/>
        <v>0</v>
      </c>
      <c r="AA73" s="483">
        <f t="shared" si="60"/>
        <v>1.0000000000000002</v>
      </c>
      <c r="AB73" s="484">
        <f t="shared" ref="AB73:AP73" si="61">SUM(AB14:AB72)</f>
        <v>100.00000000000004</v>
      </c>
      <c r="AC73" s="483">
        <f t="shared" si="61"/>
        <v>2.6129272356900657E-17</v>
      </c>
      <c r="AD73" s="485">
        <f t="shared" si="61"/>
        <v>421610749.58999991</v>
      </c>
      <c r="AE73" s="485">
        <f t="shared" si="56"/>
        <v>421610749.58999991</v>
      </c>
      <c r="AF73" s="485">
        <f t="shared" si="25"/>
        <v>0</v>
      </c>
      <c r="AG73" s="485">
        <f t="shared" si="61"/>
        <v>93616633.190000027</v>
      </c>
      <c r="AH73" s="485">
        <f t="shared" si="43"/>
        <v>93616633.190000027</v>
      </c>
      <c r="AI73" s="485">
        <f t="shared" si="44"/>
        <v>0</v>
      </c>
      <c r="AJ73" s="485">
        <f t="shared" si="61"/>
        <v>128969649.83000001</v>
      </c>
      <c r="AK73" s="485">
        <f t="shared" si="45"/>
        <v>128969649.83000001</v>
      </c>
      <c r="AL73" s="485">
        <f t="shared" si="46"/>
        <v>0</v>
      </c>
      <c r="AM73" s="485">
        <f t="shared" si="61"/>
        <v>101666671.13000003</v>
      </c>
      <c r="AN73" s="485">
        <f t="shared" si="47"/>
        <v>101666671.13000003</v>
      </c>
      <c r="AO73" s="485">
        <f t="shared" si="48"/>
        <v>0</v>
      </c>
      <c r="AP73" s="485">
        <f t="shared" si="61"/>
        <v>75349508.960000038</v>
      </c>
      <c r="AQ73" s="486">
        <f t="shared" si="49"/>
        <v>75349508.960000038</v>
      </c>
      <c r="AR73" s="486">
        <f t="shared" si="26"/>
        <v>0</v>
      </c>
      <c r="AS73" s="486">
        <f t="shared" si="50"/>
        <v>821213212.70000005</v>
      </c>
      <c r="AT73" s="487">
        <f>SUM(AT14:AT72)</f>
        <v>2.4825567379593849E-8</v>
      </c>
      <c r="AU73" s="488">
        <f>SUM(AU14:AU72)</f>
        <v>761327233.46999991</v>
      </c>
      <c r="AV73" s="489"/>
      <c r="AW73" s="455">
        <f t="shared" si="52"/>
        <v>-59885979.230000138</v>
      </c>
      <c r="AX73" s="455">
        <f>SUM(AX14:AX72)</f>
        <v>2.6129272356900657E-17</v>
      </c>
      <c r="AY73" s="490"/>
      <c r="AZ73" s="491"/>
      <c r="BA73" s="462"/>
      <c r="BB73" s="491">
        <v>100000000</v>
      </c>
      <c r="BC73" s="460">
        <f t="shared" si="30"/>
        <v>2.4825567379593849E-8</v>
      </c>
      <c r="BD73" s="460">
        <f t="shared" si="27"/>
        <v>100000000.00000003</v>
      </c>
    </row>
    <row r="74" spans="1:56" x14ac:dyDescent="0.2">
      <c r="X74" s="405" t="s">
        <v>553</v>
      </c>
      <c r="Z74" s="401"/>
      <c r="AA74" s="401"/>
      <c r="BD74" s="460"/>
    </row>
    <row r="75" spans="1:56" ht="15.75" x14ac:dyDescent="0.25">
      <c r="I75" s="493" t="s">
        <v>710</v>
      </c>
      <c r="J75" s="493"/>
      <c r="K75" s="493"/>
      <c r="L75" s="493"/>
      <c r="M75" s="516">
        <v>2878630000</v>
      </c>
      <c r="P75" s="494"/>
      <c r="Q75" s="495"/>
      <c r="Z75" s="401"/>
      <c r="AA75" s="401"/>
      <c r="AU75" s="490">
        <v>761327233.47000003</v>
      </c>
      <c r="AX75" s="490"/>
      <c r="BD75" s="460"/>
    </row>
    <row r="76" spans="1:56" ht="15.75" x14ac:dyDescent="0.25">
      <c r="B76" s="496"/>
      <c r="I76" s="493" t="s">
        <v>711</v>
      </c>
      <c r="J76" s="493"/>
      <c r="K76" s="493"/>
      <c r="L76" s="493"/>
      <c r="M76" s="480">
        <f>'[1]Allocation 2021-22'!$M$70</f>
        <v>1589680372.72</v>
      </c>
      <c r="Q76" s="497"/>
      <c r="S76" s="508"/>
      <c r="Z76" s="401"/>
      <c r="AA76" s="401"/>
      <c r="AE76" s="460"/>
      <c r="AJ76" s="460">
        <f>AF73+AI73+AL73+AO73+AR73</f>
        <v>0</v>
      </c>
    </row>
    <row r="77" spans="1:56" ht="15.75" x14ac:dyDescent="0.25">
      <c r="I77" s="493" t="s">
        <v>812</v>
      </c>
      <c r="J77" s="493"/>
      <c r="K77" s="493"/>
      <c r="L77" s="493"/>
      <c r="M77" s="498">
        <f>M75-M76</f>
        <v>1288949627.28</v>
      </c>
      <c r="N77" s="499"/>
      <c r="Q77" s="513"/>
      <c r="Z77" s="401"/>
      <c r="AA77" s="401"/>
      <c r="AD77" s="460"/>
      <c r="AE77" s="460"/>
    </row>
    <row r="78" spans="1:56" hidden="1" x14ac:dyDescent="0.2">
      <c r="Z78" s="401"/>
      <c r="AA78" s="401"/>
      <c r="AD78" s="460"/>
    </row>
    <row r="79" spans="1:56" hidden="1" x14ac:dyDescent="0.2">
      <c r="I79" s="407" t="s">
        <v>810</v>
      </c>
      <c r="M79" s="500"/>
      <c r="Z79" s="401"/>
      <c r="AA79" s="401"/>
    </row>
    <row r="80" spans="1:56" hidden="1" x14ac:dyDescent="0.2">
      <c r="I80" s="407" t="s">
        <v>793</v>
      </c>
      <c r="J80" s="491"/>
      <c r="K80" s="501"/>
      <c r="M80" s="500"/>
      <c r="Z80" s="401"/>
      <c r="AA80" s="401"/>
    </row>
    <row r="81" spans="9:27" hidden="1" x14ac:dyDescent="0.2">
      <c r="I81" s="407" t="s">
        <v>794</v>
      </c>
      <c r="K81" s="502"/>
      <c r="M81" s="500"/>
      <c r="N81" s="502">
        <f>K83-K88</f>
        <v>0</v>
      </c>
      <c r="Z81" s="401"/>
      <c r="AA81" s="401"/>
    </row>
    <row r="82" spans="9:27" hidden="1" x14ac:dyDescent="0.2">
      <c r="I82" s="407" t="s">
        <v>795</v>
      </c>
      <c r="K82" s="502"/>
      <c r="M82" s="500"/>
      <c r="Z82" s="401"/>
      <c r="AA82" s="401"/>
    </row>
    <row r="83" spans="9:27" hidden="1" x14ac:dyDescent="0.2">
      <c r="I83" s="407" t="s">
        <v>56</v>
      </c>
      <c r="K83" s="503"/>
      <c r="L83" s="401"/>
      <c r="M83" s="402"/>
      <c r="N83" s="401"/>
      <c r="O83" s="401"/>
      <c r="P83" s="401"/>
      <c r="S83" s="401"/>
      <c r="Z83" s="401"/>
      <c r="AA83" s="401"/>
    </row>
    <row r="84" spans="9:27" hidden="1" x14ac:dyDescent="0.2">
      <c r="K84" s="401"/>
      <c r="L84" s="504"/>
      <c r="M84" s="505"/>
      <c r="N84" s="505"/>
      <c r="O84" s="505"/>
      <c r="P84" s="505"/>
      <c r="S84" s="401"/>
      <c r="Z84" s="401"/>
      <c r="AA84" s="401"/>
    </row>
    <row r="85" spans="9:27" hidden="1" x14ac:dyDescent="0.2">
      <c r="I85" s="407" t="s">
        <v>811</v>
      </c>
      <c r="K85" s="401"/>
      <c r="L85" s="504"/>
      <c r="M85" s="505"/>
      <c r="N85" s="505"/>
      <c r="O85" s="505"/>
      <c r="P85" s="505"/>
      <c r="S85" s="401"/>
      <c r="Z85" s="401"/>
      <c r="AA85" s="401"/>
    </row>
    <row r="86" spans="9:27" hidden="1" x14ac:dyDescent="0.2">
      <c r="I86" s="407" t="s">
        <v>796</v>
      </c>
      <c r="K86" s="509"/>
      <c r="L86" s="504"/>
      <c r="M86" s="505"/>
      <c r="N86" s="505"/>
      <c r="O86" s="505"/>
      <c r="P86" s="505"/>
      <c r="S86" s="401"/>
      <c r="Z86" s="401"/>
      <c r="AA86" s="401"/>
    </row>
    <row r="87" spans="9:27" hidden="1" x14ac:dyDescent="0.2">
      <c r="I87" s="407" t="s">
        <v>797</v>
      </c>
      <c r="K87" s="509"/>
      <c r="L87" s="401"/>
      <c r="M87" s="506"/>
      <c r="N87" s="401"/>
      <c r="O87" s="401"/>
      <c r="P87" s="506"/>
      <c r="S87" s="401"/>
    </row>
    <row r="88" spans="9:27" hidden="1" x14ac:dyDescent="0.2">
      <c r="I88" s="407" t="s">
        <v>56</v>
      </c>
      <c r="K88" s="503"/>
      <c r="L88" s="401"/>
      <c r="M88" s="402"/>
      <c r="N88" s="401"/>
      <c r="O88" s="401"/>
      <c r="P88" s="401"/>
      <c r="S88" s="401"/>
    </row>
    <row r="89" spans="9:27" hidden="1" x14ac:dyDescent="0.2">
      <c r="I89" s="407" t="s">
        <v>56</v>
      </c>
      <c r="K89" s="503"/>
      <c r="L89" s="401"/>
      <c r="M89" s="402"/>
      <c r="N89" s="401"/>
      <c r="O89" s="401"/>
      <c r="P89" s="401"/>
      <c r="S89" s="401"/>
    </row>
    <row r="90" spans="9:27" hidden="1" x14ac:dyDescent="0.2"/>
    <row r="91" spans="9:27" hidden="1" x14ac:dyDescent="0.2"/>
    <row r="92" spans="9:27" hidden="1" x14ac:dyDescent="0.2"/>
    <row r="93" spans="9:27" hidden="1" x14ac:dyDescent="0.2">
      <c r="Q93" s="497"/>
      <c r="R93" s="497"/>
      <c r="T93" s="497"/>
      <c r="U93" s="507"/>
      <c r="V93" s="507"/>
    </row>
    <row r="94" spans="9:27" hidden="1" x14ac:dyDescent="0.2">
      <c r="Q94" s="497"/>
      <c r="R94" s="497"/>
      <c r="T94" s="497"/>
      <c r="U94" s="507"/>
      <c r="V94" s="507"/>
    </row>
    <row r="95" spans="9:27" hidden="1" x14ac:dyDescent="0.2">
      <c r="Q95" s="497"/>
      <c r="R95" s="497"/>
      <c r="T95" s="497"/>
      <c r="U95" s="507"/>
      <c r="V95" s="507"/>
    </row>
    <row r="96" spans="9:27" hidden="1" x14ac:dyDescent="0.2">
      <c r="Q96" s="497"/>
      <c r="R96" s="497"/>
      <c r="T96" s="497"/>
      <c r="U96" s="507"/>
      <c r="V96" s="507"/>
    </row>
    <row r="97" spans="17:22" hidden="1" x14ac:dyDescent="0.2">
      <c r="Q97" s="497"/>
      <c r="R97" s="497"/>
      <c r="T97" s="497"/>
      <c r="U97" s="507"/>
      <c r="V97" s="507"/>
    </row>
    <row r="98" spans="17:22" hidden="1" x14ac:dyDescent="0.2">
      <c r="Q98" s="497"/>
      <c r="R98" s="497"/>
      <c r="T98" s="497"/>
      <c r="U98" s="507"/>
      <c r="V98" s="507"/>
    </row>
    <row r="99" spans="17:22" x14ac:dyDescent="0.2"/>
  </sheetData>
  <sortState ref="A5:Y64">
    <sortCondition ref="A5"/>
  </sortState>
  <mergeCells count="2">
    <mergeCell ref="U5:Y5"/>
    <mergeCell ref="A6:AT6"/>
  </mergeCells>
  <printOptions horizontalCentered="1"/>
  <pageMargins left="0.25" right="0.25" top="0.75" bottom="0.75" header="0.3" footer="0.3"/>
  <pageSetup fitToWidth="0" orientation="portrait" r:id="rId1"/>
  <headerFooter alignWithMargins="0">
    <oddHeader>&amp;L&amp;10Enclosure 11</oddHeader>
    <oddFooter>&amp;C&amp;P</oddFooter>
  </headerFooter>
  <rowBreaks count="1" manualBreakCount="1">
    <brk id="4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23" t="s">
        <v>724</v>
      </c>
      <c r="B1" s="524"/>
      <c r="C1" s="524"/>
      <c r="D1" s="524"/>
      <c r="E1" s="524"/>
      <c r="F1" s="525"/>
      <c r="G1" s="326"/>
      <c r="H1" s="326"/>
      <c r="I1" s="297" t="s">
        <v>78</v>
      </c>
    </row>
    <row r="2" spans="1:13" ht="12.75" customHeight="1" x14ac:dyDescent="0.2">
      <c r="A2" s="526" t="s">
        <v>790</v>
      </c>
      <c r="B2" s="524"/>
      <c r="C2" s="524"/>
      <c r="D2" s="524"/>
      <c r="E2" s="524"/>
      <c r="F2" s="525"/>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27" t="s">
        <v>791</v>
      </c>
      <c r="N53" s="527"/>
      <c r="O53" s="527"/>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28" t="s">
        <v>781</v>
      </c>
      <c r="B1" s="529"/>
      <c r="C1" s="529"/>
      <c r="D1" s="529"/>
      <c r="E1" s="530"/>
      <c r="G1" s="528" t="s">
        <v>782</v>
      </c>
      <c r="H1" s="529"/>
      <c r="I1" s="529"/>
      <c r="J1" s="530"/>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31" t="s">
        <v>716</v>
      </c>
      <c r="D1" s="532"/>
      <c r="E1" s="533"/>
      <c r="G1" s="531" t="s">
        <v>809</v>
      </c>
      <c r="H1" s="532"/>
      <c r="I1" s="532"/>
      <c r="J1" s="533"/>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37" t="s">
        <v>723</v>
      </c>
      <c r="B1" s="538"/>
      <c r="C1" s="538"/>
      <c r="D1" s="538"/>
      <c r="E1" s="538"/>
      <c r="F1" s="539"/>
    </row>
    <row r="2" spans="1:6" x14ac:dyDescent="0.25">
      <c r="A2" s="540" t="s">
        <v>560</v>
      </c>
      <c r="B2" s="534" t="s">
        <v>548</v>
      </c>
      <c r="C2" s="535"/>
      <c r="D2" s="535"/>
      <c r="E2" s="535"/>
      <c r="F2" s="536"/>
    </row>
    <row r="3" spans="1:6" s="276" customFormat="1" ht="60" x14ac:dyDescent="0.25">
      <c r="A3" s="541"/>
      <c r="B3" s="275" t="s">
        <v>719</v>
      </c>
      <c r="C3" s="275" t="s">
        <v>720</v>
      </c>
      <c r="D3" s="275" t="s">
        <v>721</v>
      </c>
      <c r="E3" s="275" t="s">
        <v>722</v>
      </c>
      <c r="F3" s="275" t="s">
        <v>549</v>
      </c>
    </row>
    <row r="4" spans="1:6" ht="15.6" customHeight="1" x14ac:dyDescent="0.25">
      <c r="A4" s="542"/>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43" t="s">
        <v>85</v>
      </c>
      <c r="B2" s="543"/>
      <c r="C2" s="543"/>
      <c r="D2" s="543"/>
      <c r="E2" s="543"/>
      <c r="F2" s="543"/>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44" t="s">
        <v>798</v>
      </c>
      <c r="B1" s="545"/>
      <c r="C1" s="545"/>
      <c r="D1" s="545"/>
      <c r="E1" s="545"/>
      <c r="F1" s="546"/>
      <c r="G1" s="546"/>
      <c r="H1" s="545"/>
      <c r="I1" s="545"/>
      <c r="J1" s="545"/>
      <c r="K1" s="545"/>
      <c r="L1" s="547"/>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58c17f332474a929790070710ad1cd2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DHCSDOC-1797567310-4384</_dlc_DocId>
    <_dlc_DocIdUrl xmlns="69bc34b3-1921-46c7-8c7a-d18363374b4b">
      <Url>http://dhcsgovstaging:88/_layouts/15/DocIdRedir.aspx?ID=DHCSDOC-1797567310-4384</Url>
      <Description>DHCSDOC-1797567310-4384</Description>
    </_dlc_DocIdUrl>
  </documentManagement>
</p:properties>
</file>

<file path=customXml/itemProps1.xml><?xml version="1.0" encoding="utf-8"?>
<ds:datastoreItem xmlns:ds="http://schemas.openxmlformats.org/officeDocument/2006/customXml" ds:itemID="{5A8F8783-9F02-4BE1-8E5F-A632F50AFF2B}"/>
</file>

<file path=customXml/itemProps2.xml><?xml version="1.0" encoding="utf-8"?>
<ds:datastoreItem xmlns:ds="http://schemas.openxmlformats.org/officeDocument/2006/customXml" ds:itemID="{79958A3B-73B8-419D-9862-22CFB4AAF67A}"/>
</file>

<file path=customXml/itemProps3.xml><?xml version="1.0" encoding="utf-8"?>
<ds:datastoreItem xmlns:ds="http://schemas.openxmlformats.org/officeDocument/2006/customXml" ds:itemID="{1CA83BE4-7C17-4AAF-A845-6F73FA79F89C}"/>
</file>

<file path=customXml/itemProps4.xml><?xml version="1.0" encoding="utf-8"?>
<ds:datastoreItem xmlns:ds="http://schemas.openxmlformats.org/officeDocument/2006/customXml" ds:itemID="{22FF72F3-0DD9-49D0-984C-2B1B4017D4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Vue, Yee@DHCS</cp:lastModifiedBy>
  <cp:lastPrinted>2018-06-25T20:27:31Z</cp:lastPrinted>
  <dcterms:created xsi:type="dcterms:W3CDTF">2005-01-21T19:34:44Z</dcterms:created>
  <dcterms:modified xsi:type="dcterms:W3CDTF">2021-09-22T15:28:52Z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2016677c-97b0-404a-b2e3-2cf91c7593a9</vt:lpwstr>
  </property>
  <property fmtid="{D5CDD505-2E9C-101B-9397-08002B2CF9AE}" pid="4" name="Division">
    <vt:lpwstr>11;#Community Services|c23dee46-a4de-4c29-8bbc-79830d9e7d7c</vt:lpwstr>
  </property>
</Properties>
</file>