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S:\3330-3337, 3426 - MHSA\FY 21-22\RER\Forms\"/>
    </mc:Choice>
  </mc:AlternateContent>
  <xr:revisionPtr revIDLastSave="0" documentId="13_ncr:1_{C1131BA3-403D-48D5-BF2A-5EB516A0A307}" xr6:coauthVersionLast="47" xr6:coauthVersionMax="47" xr10:uidLastSave="{00000000-0000-0000-0000-000000000000}"/>
  <bookViews>
    <workbookView xWindow="-28920" yWindow="-120" windowWidth="29040" windowHeight="15840" tabRatio="695" firstSheet="6" activeTab="1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<sst xmlns="http://schemas.openxmlformats.org/spreadsheetml/2006/main" count="1548" uniqueCount="829">
  <si>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</si>
  <si>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</si>
  <si>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</si>
  <si>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</si>
  <si>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</si>
  <si>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</si>
  <si>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</si>
  <si>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</si>
  <si>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</si>
  <si>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</si>
  <si>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</si>
  <si>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</si>
  <si>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</si>
  <si>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</si>
  <si>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</si>
  <si>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</si>
  <si>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</si>
  <si>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</si>
  <si>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</si>
  <si>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</si>
  <si>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</si>
  <si>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</si>
  <si>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</si>
  <si>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</si>
  <si>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</si>
  <si>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</si>
  <si>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</si>
  <si>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</si>
  <si>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</si>
  <si>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</si>
  <si>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</si>
  <si>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</si>
  <si>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</si>
  <si>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</si>
  <si>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</si>
  <si>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</si>
  <si>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</si>
  <si>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</si>
  <si>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</si>
  <si>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</si>
  <si>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</si>
  <si>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</si>
  <si>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</si>
  <si>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</si>
  <si>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</si>
  <si>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</si>
  <si>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</si>
  <si>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</si>
  <si>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</si>
  <si>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</si>
  <si>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</si>
  <si>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</si>
  <si>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</si>
  <si>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</si>
  <si>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</si>
  <si>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</si>
  <si>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</si>
  <si>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</si>
  <si>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</si>
  <si>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</si>
  <si>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</si>
  <si>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</si>
  <si>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</si>
  <si>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</si>
  <si>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</si>
  <si>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</si>
  <si>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</si>
  <si>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</si>
  <si>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</si>
  <si>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</si>
  <si>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</si>
  <si>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</si>
  <si>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</si>
  <si>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</si>
  <si>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</si>
  <si>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</si>
  <si>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</si>
  <si>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</si>
  <si>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</si>
  <si>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</si>
  <si>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</si>
  <si>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</si>
  <si>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</si>
  <si>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</si>
  <si>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</si>
  <si>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</si>
  <si>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</si>
  <si>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</si>
  <si>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</si>
  <si>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</si>
  <si>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</si>
  <si>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</si>
  <si>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</si>
  <si>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</si>
  <si>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</si>
  <si>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</si>
  <si>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</si>
  <si>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</si>
  <si>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</si>
  <si>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</si>
  <si>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</si>
  <si>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</si>
  <si>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</si>
  <si>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</si>
  <si>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</si>
  <si>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</si>
  <si>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</si>
  <si>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</si>
  <si>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</si>
  <si>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</si>
  <si>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</si>
  <si>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</si>
  <si>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</si>
  <si>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</si>
  <si>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</si>
  <si>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</si>
  <si>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</si>
  <si>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</si>
  <si>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</si>
  <si>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</si>
  <si>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</si>
  <si>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</si>
  <si>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</si>
  <si>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</si>
  <si>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</si>
  <si>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</si>
  <si>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</si>
  <si>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</si>
  <si>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</si>
  <si>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</si>
  <si>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</si>
  <si>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</si>
  <si>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</si>
  <si>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</si>
  <si>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</si>
  <si>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</si>
  <si>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</si>
  <si>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</si>
  <si>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</si>
  <si>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</si>
  <si>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</si>
  <si>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</si>
  <si>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</si>
  <si>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</si>
  <si>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</si>
  <si>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</si>
  <si>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</si>
  <si>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</si>
  <si>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</si>
  <si>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</si>
  <si>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</si>
  <si>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</si>
  <si>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</si>
  <si>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</si>
  <si>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</si>
  <si>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</si>
  <si>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</si>
  <si>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</si>
  <si>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</si>
  <si>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</si>
  <si>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</si>
  <si>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</si>
  <si>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</si>
  <si>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</si>
  <si>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</si>
  <si>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</si>
  <si>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</si>
  <si>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</si>
  <si>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</si>
  <si>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</si>
  <si>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</si>
  <si>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</si>
  <si>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</si>
  <si>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</si>
  <si>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</si>
  <si>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</si>
  <si>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</si>
  <si>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</si>
  <si>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</si>
  <si>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</si>
  <si>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</si>
  <si>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</si>
  <si>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</si>
  <si>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</si>
  <si>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</si>
  <si>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</si>
  <si>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</si>
  <si>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</si>
  <si>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</si>
  <si>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</si>
  <si>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</si>
  <si>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</si>
  <si>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</si>
  <si>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</si>
  <si>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</si>
  <si>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</si>
  <si>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</si>
  <si>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</si>
  <si>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</si>
  <si>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</si>
  <si>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</si>
  <si>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</si>
  <si>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</si>
  <si>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</si>
  <si>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</si>
  <si>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</si>
  <si>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</si>
  <si>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</si>
  <si>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</si>
  <si>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</si>
  <si>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</si>
  <si>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</si>
  <si>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</si>
  <si>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</si>
  <si>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</si>
  <si>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</si>
  <si>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</si>
  <si>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</si>
  <si>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</si>
  <si>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</si>
  <si>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</si>
  <si>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</si>
  <si>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</si>
  <si>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</si>
  <si>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</si>
  <si>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</si>
  <si>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</si>
  <si>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</si>
  <si>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</si>
  <si>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</si>
  <si>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</si>
  <si>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</si>
  <si>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</si>
  <si>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</si>
  <si>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</si>
  <si>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</si>
  <si>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</si>
  <si>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</si>
  <si>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</si>
  <si>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</si>
  <si>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</si>
  <si>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</si>
  <si>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</si>
  <si>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</si>
  <si>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</si>
  <si>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</si>
  <si>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</si>
  <si>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</si>
  <si>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</si>
  <si>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</si>
  <si>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</si>
  <si>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</si>
  <si>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</si>
  <si>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</si>
  <si>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</si>
  <si>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</si>
  <si>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</si>
  <si>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</si>
  <si>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</si>
  <si>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</si>
  <si>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</si>
  <si>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</si>
  <si>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</si>
  <si>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</si>
  <si>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</si>
  <si>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</si>
  <si>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</si>
  <si>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</si>
  <si>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</si>
  <si>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</si>
  <si>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</si>
  <si>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</si>
  <si>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</si>
  <si>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</si>
  <si>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</si>
  <si>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</si>
  <si>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</si>
  <si>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</si>
  <si>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</si>
  <si>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</si>
  <si>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</si>
  <si>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</si>
  <si>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</si>
  <si>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</si>
  <si>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</si>
  <si>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</si>
  <si>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</si>
  <si>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</si>
  <si>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</si>
  <si>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</si>
  <si>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</si>
  <si>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</si>
  <si>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</si>
  <si>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</si>
  <si>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</si>
  <si>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</si>
  <si>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</si>
  <si>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</si>
  <si>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</si>
  <si>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</si>
  <si>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</si>
  <si>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</si>
  <si>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</si>
  <si>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</si>
  <si>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</si>
  <si>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</si>
  <si>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</si>
  <si>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</si>
  <si>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</si>
  <si>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</si>
  <si>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</si>
  <si>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</si>
  <si>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</si>
  <si>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</si>
  <si>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</si>
  <si>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</si>
  <si>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</si>
  <si>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</si>
  <si>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</si>
  <si>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</si>
  <si>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</si>
  <si>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</si>
  <si>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</si>
  <si>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</si>
  <si>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</si>
  <si>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</si>
  <si>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</si>
  <si>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</si>
  <si>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</si>
  <si>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</si>
  <si>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</si>
  <si>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</si>
  <si>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</si>
  <si>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</si>
  <si>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</si>
  <si>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</si>
  <si>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</si>
  <si>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</si>
  <si>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</si>
  <si>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</si>
  <si>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</si>
  <si>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</si>
  <si>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</si>
  <si>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</si>
  <si>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</si>
  <si>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</si>
  <si>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</si>
  <si>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</si>
  <si>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</si>
  <si>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</si>
  <si>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</si>
  <si>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</si>
  <si>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</si>
  <si>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</si>
  <si>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</si>
  <si>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</si>
  <si>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</si>
  <si>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</si>
  <si>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</si>
  <si>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</si>
  <si>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</si>
  <si>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</si>
  <si>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</si>
  <si>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</si>
  <si>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</si>
  <si>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</si>
  <si>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</si>
  <si>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</si>
  <si>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</si>
  <si>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</si>
  <si>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</si>
  <si>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</si>
  <si>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</si>
  <si>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</si>
  <si>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</si>
  <si>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</si>
  <si>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</si>
  <si>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</si>
  <si>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</si>
  <si>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</si>
  <si>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</si>
  <si>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</si>
  <si>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</si>
  <si>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</si>
  <si>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</si>
  <si>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</si>
  <si>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</si>
  <si>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</si>
  <si>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</si>
  <si>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</si>
  <si>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</si>
  <si>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</si>
  <si>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</si>
  <si>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</si>
  <si>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</si>
  <si>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</si>
  <si>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</si>
  <si>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</si>
  <si>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</si>
  <si>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</si>
  <si>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</si>
  <si>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</si>
  <si>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</si>
  <si>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</si>
  <si>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</si>
  <si>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</si>
  <si>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</si>
  <si>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</si>
  <si>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</si>
  <si>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</si>
  <si>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</si>
  <si>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</si>
  <si>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</si>
  <si>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</si>
  <si>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</si>
  <si>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</si>
  <si>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</si>
  <si>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</si>
  <si>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</si>
  <si>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</si>
  <si>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</si>
  <si>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</si>
  <si>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</si>
  <si>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</si>
  <si>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</si>
  <si>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</si>
  <si>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</si>
  <si>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</si>
  <si>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</si>
  <si>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</si>
  <si>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</si>
  <si>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</si>
  <si>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</si>
  <si>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</si>
  <si>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</si>
  <si>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</si>
  <si>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</si>
  <si>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</si>
  <si>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</si>
  <si>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</si>
  <si>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</si>
  <si>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</si>
  <si>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</si>
  <si>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</si>
  <si>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</si>
  <si>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</si>
  <si>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</si>
  <si>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</si>
  <si>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</si>
  <si>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</si>
  <si>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</si>
  <si>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</si>
  <si>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</si>
  <si>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</si>
  <si>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</si>
  <si>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</si>
  <si>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</si>
  <si>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</si>
  <si>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</si>
  <si>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</si>
  <si>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</si>
  <si>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</si>
  <si>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</si>
  <si>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</si>
  <si>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</si>
  <si>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</si>
  <si>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</si>
  <si>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</si>
  <si>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</si>
  <si>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</si>
  <si>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</si>
  <si>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</si>
  <si>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</si>
  <si>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</si>
  <si>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</si>
  <si>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</si>
  <si>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</si>
  <si>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</si>
  <si>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</si>
  <si>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</si>
  <si>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</si>
  <si>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</si>
  <si>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</si>
  <si>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</si>
  <si>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</si>
  <si>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</si>
  <si>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</si>
  <si>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</si>
  <si>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</si>
  <si>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</si>
  <si>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</si>
  <si>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</si>
  <si>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</si>
  <si>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</si>
  <si>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</si>
  <si>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</si>
  <si>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</si>
  <si>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</si>
  <si>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</si>
  <si>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</si>
  <si>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</si>
  <si>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</si>
  <si>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</si>
  <si>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</si>
  <si>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</si>
  <si>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</si>
  <si>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</si>
  <si>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</si>
  <si>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</si>
  <si>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</si>
  <si>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</si>
  <si>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</si>
  <si>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</si>
  <si>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</si>
  <si>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</si>
  <si>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</si>
  <si>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</si>
  <si>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</si>
  <si>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</si>
  <si>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</si>
  <si>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</si>
  <si>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</si>
  <si>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</si>
  <si>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</si>
  <si>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</si>
  <si>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</si>
  <si>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</si>
  <si>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</si>
  <si>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</si>
  <si>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</si>
  <si>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</si>
  <si>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</si>
  <si>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</si>
  <si>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</si>
  <si>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</si>
  <si>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</si>
  <si>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</si>
  <si>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</si>
  <si>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</si>
  <si>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</si>
  <si>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</si>
  <si>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</si>
  <si>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</si>
  <si>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</si>
  <si>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</si>
  <si>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</si>
  <si>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</si>
  <si>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</si>
  <si>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</si>
  <si>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</si>
  <si>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</si>
  <si>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</si>
  <si>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</si>
  <si>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</si>
  <si>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</si>
  <si>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</si>
  <si>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</si>
  <si>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</si>
  <si>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</si>
  <si>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</si>
  <si>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</si>
  <si>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</si>
  <si>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</si>
  <si>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</si>
  <si>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</si>
  <si>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</si>
  <si>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</si>
  <si>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</si>
  <si>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</si>
  <si>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</si>
  <si>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</si>
  <si>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</si>
  <si>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</si>
  <si>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</si>
  <si>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</si>
  <si>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</si>
  <si>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</si>
  <si>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</si>
  <si>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</si>
  <si>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</si>
  <si>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</si>
  <si>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</si>
  <si>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</si>
  <si>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</si>
  <si>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</si>
  <si>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</si>
  <si>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</si>
  <si>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</si>
  <si>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</si>
  <si>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</si>
  <si>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</si>
  <si>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</si>
  <si>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</si>
  <si>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</si>
  <si>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</si>
  <si>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</si>
  <si>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</si>
  <si>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</si>
  <si>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</si>
  <si>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</si>
  <si>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</si>
  <si>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</si>
  <si>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</si>
  <si>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</si>
  <si>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</si>
  <si>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</si>
  <si>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</si>
  <si>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</si>
  <si>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</si>
  <si>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</si>
  <si>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</si>
  <si>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</si>
  <si>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</si>
  <si>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</si>
  <si>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</si>
  <si>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</si>
  <si>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</si>
  <si>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</si>
  <si>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</si>
  <si>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</si>
  <si>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</si>
  <si>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</si>
  <si>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</si>
  <si>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</si>
  <si>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</si>
  <si>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</si>
  <si>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</si>
  <si>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</si>
  <si>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</si>
  <si>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</si>
  <si>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</si>
  <si>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</si>
  <si>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</si>
  <si>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</si>
  <si>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</si>
  <si>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</si>
  <si>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</si>
  <si>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</si>
  <si>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</si>
  <si>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</si>
  <si>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</si>
  <si>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</si>
  <si>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</si>
  <si>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</si>
  <si>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</si>
  <si>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</si>
  <si>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</si>
  <si>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</si>
  <si>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</si>
  <si>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</si>
  <si>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</si>
  <si>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</si>
  <si>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</si>
  <si>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</si>
  <si>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</si>
  <si>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</si>
  <si>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</si>
  <si>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</si>
  <si>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</si>
  <si>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</si>
  <si>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</si>
  <si>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</si>
  <si>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</si>
  <si>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</si>
  <si>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</si>
  <si>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</si>
  <si>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</si>
  <si>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</si>
  <si>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</si>
  <si>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</si>
  <si>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</si>
  <si>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</si>
  <si>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</si>
  <si>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</si>
  <si>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</si>
  <si>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</si>
  <si>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</si>
  <si>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</si>
  <si>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</si>
  <si>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</si>
  <si>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</si>
  <si>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</si>
  <si>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</si>
  <si>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</si>
  <si>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</si>
  <si>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</si>
  <si>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</si>
  <si>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</si>
  <si>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</si>
  <si>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</si>
  <si>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</si>
  <si>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</si>
  <si>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</si>
  <si>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</si>
  <si>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</si>
  <si>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</si>
  <si>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</si>
  <si>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</si>
  <si>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</si>
  <si>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</si>
  <si>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</si>
  <si>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</si>
  <si>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</si>
  <si>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</si>
  <si>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</si>
  <si>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</si>
  <si>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</si>
  <si>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</si>
  <si>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</si>
  <si>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</si>
  <si>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</si>
  <si>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</si>
  <si>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</si>
  <si>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</si>
  <si>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</si>
  <si>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</si>
  <si>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</si>
  <si>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</si>
  <si>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</si>
  <si>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</si>
  <si>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</si>
  <si>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</si>
  <si>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</si>
  <si>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</si>
  <si>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</si>
  <si>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</si>
  <si>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</si>
  <si>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</si>
  <si>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</si>
  <si>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</si>
  <si>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</si>
  <si>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</si>
  <si>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</si>
  <si>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</si>
  <si>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</si>
  <si>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</si>
  <si>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</si>
  <si>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</si>
  <si>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</si>
  <si>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</si>
  <si>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</si>
  <si>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</si>
  <si>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</si>
  <si>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</si>
  <si>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</si>
  <si>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</si>
  <si>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</si>
  <si>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</si>
  <si>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</si>
  <si>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</si>
  <si>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</si>
  <si>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</si>
  <si>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</si>
  <si>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</si>
  <si>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</si>
  <si>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</si>
  <si>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</si>
  <si>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</si>
  <si>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</si>
  <si>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</si>
  <si>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</si>
  <si>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</si>
  <si>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</si>
  <si>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</si>
  <si>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</si>
  <si>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</si>
  <si>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</si>
  <si>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</si>
  <si>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</si>
  <si>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</si>
  <si>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</si>
  <si>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</si>
  <si>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</si>
  <si>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</si>
  <si>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</si>
  <si>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</si>
  <si>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</si>
  <si>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</si>
  <si>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</si>
  <si>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</si>
  <si>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</si>
  <si>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</si>
  <si>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</si>
  <si>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5957 S Mooney Blvd</t>
  </si>
  <si>
    <t>Visalia</t>
  </si>
  <si>
    <t>Traci Ruiz</t>
  </si>
  <si>
    <t>Accountant II</t>
  </si>
  <si>
    <t>TDRuiz1@tularecounty.ca.gov</t>
  </si>
  <si>
    <t>(559) 624-8022</t>
  </si>
  <si>
    <t>One Stop Center Programs</t>
  </si>
  <si>
    <t>United for Health Mobile Unit</t>
  </si>
  <si>
    <t>County FSP Program</t>
  </si>
  <si>
    <t>Supportive Housing</t>
  </si>
  <si>
    <t>Specialized Mental Health Services</t>
  </si>
  <si>
    <t>Wellness &amp; Recovery Activities</t>
  </si>
  <si>
    <t>Outreach for Increasing Recognition of Early Signs of Mental Illness</t>
  </si>
  <si>
    <t>Access and Linkage to Treatment</t>
  </si>
  <si>
    <t>Building Bridges</t>
  </si>
  <si>
    <t>SafeCare</t>
  </si>
  <si>
    <t>London Prevention Program</t>
  </si>
  <si>
    <t>Family Interaction</t>
  </si>
  <si>
    <t>K-3 Early Intervention</t>
  </si>
  <si>
    <t>Children of Promise</t>
  </si>
  <si>
    <t>First Episode Psychosis</t>
  </si>
  <si>
    <t>Insight Program</t>
  </si>
  <si>
    <t>Mental Health Awareness</t>
  </si>
  <si>
    <t>Media Efforts</t>
  </si>
  <si>
    <t>ASIST Training</t>
  </si>
  <si>
    <t>SlickRock Film Festival</t>
  </si>
  <si>
    <t>In-Home Parent Education</t>
  </si>
  <si>
    <t>Community Warm Line</t>
  </si>
  <si>
    <t>Senior Counseling</t>
  </si>
  <si>
    <t>Homebound Senior</t>
  </si>
  <si>
    <t>Stigma and Discrimination Reduction</t>
  </si>
  <si>
    <t>Preschool Expulsion Reduction</t>
  </si>
  <si>
    <t>Crisis Intervention Team Training</t>
  </si>
  <si>
    <t>Mental Health First Aid</t>
  </si>
  <si>
    <t>Older Adult Hopelessness Screening</t>
  </si>
  <si>
    <t>Suicide Prevention Hotline</t>
  </si>
  <si>
    <t>The Source LGBT+Center</t>
  </si>
  <si>
    <t>Addressing Metabolic Syndrome and its Components</t>
  </si>
  <si>
    <t>Connectedness 2 Community</t>
  </si>
  <si>
    <t>Advancing Behavioral Health</t>
  </si>
  <si>
    <t>Expenditure</t>
  </si>
  <si>
    <t>19/20</t>
  </si>
  <si>
    <t>20/21</t>
  </si>
  <si>
    <t>To reduce PEI Expenditures</t>
  </si>
  <si>
    <t>To reduce unapplied CFTN Expenditures to State's Reversion</t>
  </si>
  <si>
    <t>To Increase unapplied CFTN Revenue to State's Reverstion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</si>
</sst>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4" zoomScale="80" zoomScaleNormal="80" zoomScaleSheetLayoutView="40" workbookViewId="0">
      <selection activeCell="C41" sqref="C41"/>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Tulare</v>
      </c>
      <c r="G9" s="190" t="s">
        <v>1</v>
      </c>
      <c r="H9" s="226" t="str">
        <f>IF(ISBLANK('1. Information'!D9),"",'1. Information'!D9)</f>
        <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12594.83</v>
      </c>
      <c r="G15" s="109"/>
      <c r="H15" s="109"/>
      <c r="I15" s="109"/>
      <c r="J15" s="109"/>
      <c r="K15" s="209">
        <f>SUM(F15:J15)</f>
        <v>12594.83</v>
      </c>
      <c r="L15"/>
      <c r="M15"/>
      <c r="N15"/>
    </row>
    <row r="16" spans="1:17" ht="15.75" x14ac:dyDescent="0.25">
      <c r="B16" s="236">
        <v>2</v>
      </c>
      <c r="C16" s="263" t="s">
        <v>143</v>
      </c>
      <c r="D16" s="205"/>
      <c r="E16" s="206"/>
      <c r="F16" s="109">
        <v>115875.54</v>
      </c>
      <c r="G16" s="109"/>
      <c r="H16" s="109"/>
      <c r="I16" s="109"/>
      <c r="J16" s="109"/>
      <c r="K16" s="209">
        <f>SUM(F16:J16)</f>
        <v>115875.54</v>
      </c>
      <c r="L16"/>
      <c r="M16"/>
      <c r="N16"/>
    </row>
    <row r="17" spans="2:17" ht="15.75" x14ac:dyDescent="0.25">
      <c r="B17" s="236">
        <v>3</v>
      </c>
      <c r="C17" s="264" t="s">
        <v>238</v>
      </c>
      <c r="D17" s="208"/>
      <c r="E17" s="206"/>
      <c r="F17" s="109"/>
      <c r="G17" s="265"/>
      <c r="H17" s="265"/>
      <c r="I17" s="265"/>
      <c r="J17" s="265"/>
      <c r="K17" s="209">
        <f>F17</f>
        <v>0</v>
      </c>
      <c r="L17"/>
      <c r="M17"/>
      <c r="N17"/>
    </row>
    <row r="18" spans="2:17" ht="15.75" x14ac:dyDescent="0.25">
      <c r="B18" s="236">
        <v>4</v>
      </c>
      <c r="C18" s="264" t="s">
        <v>293</v>
      </c>
      <c r="D18" s="208"/>
      <c r="E18" s="206"/>
      <c r="F18" s="109"/>
      <c r="G18" s="265"/>
      <c r="H18" s="265"/>
      <c r="I18" s="265"/>
      <c r="J18" s="265"/>
      <c r="K18" s="209">
        <f>F18</f>
        <v>0</v>
      </c>
      <c r="L18"/>
      <c r="M18"/>
      <c r="N18"/>
    </row>
    <row r="19" spans="2:17" ht="15.75" x14ac:dyDescent="0.25">
      <c r="B19" s="236">
        <v>5</v>
      </c>
      <c r="C19" s="263" t="s">
        <v>144</v>
      </c>
      <c r="D19" s="205"/>
      <c r="E19" s="206"/>
      <c r="F19" s="266">
        <f>SUMIF($K$29:$K$128,"Project Administration",L$29:L$128)</f>
        <v>71701.27</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71701.27</v>
      </c>
      <c r="L19"/>
      <c r="M19"/>
      <c r="N19"/>
    </row>
    <row r="20" spans="2:17" ht="15.75" x14ac:dyDescent="0.25">
      <c r="B20" s="236">
        <v>6</v>
      </c>
      <c r="C20" s="263" t="s">
        <v>145</v>
      </c>
      <c r="D20" s="205"/>
      <c r="E20" s="206"/>
      <c r="F20" s="265">
        <f>SUMIF($K$29:$K$128,"Project Evaluation",L$29:L$128)</f>
        <v>37027.81</v>
      </c>
      <c r="G20" s="268">
        <f>SUMIF($K$29:$K$128,"Project Evaluation",M$29:M$128)</f>
        <v>0</v>
      </c>
      <c r="H20" s="265">
        <f>SUMIF($K$29:$K$128,"Project Evaluation",N$29:N$128)</f>
        <v>0</v>
      </c>
      <c r="I20" s="265">
        <f>SUMIF($K$29:$K$128,"Project Evaluation",O$29:O$128)</f>
        <v>0</v>
      </c>
      <c r="J20" s="265">
        <f>SUMIF($K$29:$K$128,"Project Evaluation",P$29:P$128)</f>
        <v>0</v>
      </c>
      <c r="K20" s="209">
        <f t="shared" si="0"/>
        <v>37027.81</v>
      </c>
      <c r="L20"/>
      <c r="M20"/>
      <c r="N20"/>
    </row>
    <row r="21" spans="2:17" ht="15.75" x14ac:dyDescent="0.25">
      <c r="B21" s="236">
        <v>7</v>
      </c>
      <c r="C21" s="263" t="s">
        <v>196</v>
      </c>
      <c r="D21" s="205"/>
      <c r="E21" s="206"/>
      <c r="F21" s="265">
        <f>SUMIF($K$29:$K$128,"Project Direct",L$29:L$128)</f>
        <v>725018.95</v>
      </c>
      <c r="G21" s="268">
        <f>SUMIF($K$29:$K$128,"Project Direct",M$29:M$128)</f>
        <v>0</v>
      </c>
      <c r="H21" s="265">
        <f>SUMIF($K$29:$K$128,"Project Direct",N$29:N$128)</f>
        <v>0</v>
      </c>
      <c r="I21" s="265">
        <f>SUMIF($K$29:$K$128,"Project Direct",O$29:O$128)</f>
        <v>0</v>
      </c>
      <c r="J21" s="265">
        <f>SUMIF($K$29:$K$128,"Project Direct",P$29:P$128)</f>
        <v>0</v>
      </c>
      <c r="K21" s="209">
        <f t="shared" si="0"/>
        <v>725018.95</v>
      </c>
      <c r="L21"/>
      <c r="M21"/>
      <c r="N21"/>
    </row>
    <row r="22" spans="2:17" ht="15.75" x14ac:dyDescent="0.25">
      <c r="B22" s="236">
        <v>8</v>
      </c>
      <c r="C22" s="263" t="s">
        <v>146</v>
      </c>
      <c r="D22" s="269"/>
      <c r="F22" s="160">
        <f>SUM(F19:F21)</f>
        <v>833748.02999999991</v>
      </c>
      <c r="G22" s="270">
        <f>SUM(G19:G21)</f>
        <v>0</v>
      </c>
      <c r="H22" s="160">
        <f>SUM(H19:H21)</f>
        <v>0</v>
      </c>
      <c r="I22" s="160">
        <f>SUM(I19:I21)</f>
        <v>0</v>
      </c>
      <c r="J22" s="160">
        <f t="shared" ref="J22" si="1">SUM(J19:J21)</f>
        <v>0</v>
      </c>
      <c r="K22" s="209">
        <f t="shared" si="0"/>
        <v>833748.02999999991</v>
      </c>
      <c r="L22"/>
      <c r="M22"/>
      <c r="N22"/>
    </row>
    <row r="23" spans="2:17" ht="30.95" customHeight="1" x14ac:dyDescent="0.25">
      <c r="B23" s="236">
        <v>9</v>
      </c>
      <c r="C23" s="271" t="s">
        <v>239</v>
      </c>
      <c r="D23" s="272"/>
      <c r="E23" s="273"/>
      <c r="F23" s="274">
        <f>SUM(F15:F16,F18:F21)</f>
        <v>962218.39999999991</v>
      </c>
      <c r="G23" s="274">
        <f>SUM(G15:G16,G19:G21)</f>
        <v>0</v>
      </c>
      <c r="H23" s="274">
        <f t="shared" ref="H23:J23" si="2">SUM(H15:H16,H19:H21)</f>
        <v>0</v>
      </c>
      <c r="I23" s="274">
        <f t="shared" si="2"/>
        <v>0</v>
      </c>
      <c r="J23" s="274">
        <f t="shared" si="2"/>
        <v>0</v>
      </c>
      <c r="K23" s="239">
        <f t="shared" si="0"/>
        <v>962218.39999999991</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ht="30" x14ac:dyDescent="0.2">
      <c r="B29" s="236">
        <v>10</v>
      </c>
      <c r="C29" s="224" t="s">
        <v>23</v>
      </c>
      <c r="D29" s="259">
        <f>IF(Q32&lt;&gt;0,VLOOKUP($E$9,Info_County_Code,2,FALSE),"")</f>
        <v>54</v>
      </c>
      <c r="E29" s="113" t="s">
        <v>820</v>
      </c>
      <c r="F29" s="29"/>
      <c r="G29" s="29">
        <v>43552</v>
      </c>
      <c r="H29" s="29">
        <v>43620</v>
      </c>
      <c r="I29" s="22"/>
      <c r="J29" s="22"/>
      <c r="K29" s="278" t="s">
        <v>140</v>
      </c>
      <c r="L29" s="23">
        <v>3227.85</v>
      </c>
      <c r="M29" s="23"/>
      <c r="N29" s="22"/>
      <c r="O29" s="22"/>
      <c r="P29" s="25"/>
      <c r="Q29" s="209">
        <f>SUM(L29:P29)</f>
        <v>3227.85</v>
      </c>
    </row>
    <row r="30" spans="2:17" ht="30" x14ac:dyDescent="0.2">
      <c r="B30" s="236">
        <v>10</v>
      </c>
      <c r="C30" s="183" t="s">
        <v>25</v>
      </c>
      <c r="D30" s="279">
        <f t="shared" ref="D30:J31" si="3">IF(ISBLANK(D29),"",D29)</f>
        <v>54</v>
      </c>
      <c r="E30" s="280" t="str">
        <f t="shared" si="3"/>
        <v>Addressing Metabolic Syndrome and its Components</v>
      </c>
      <c r="F30" s="281" t="str">
        <f t="shared" si="3"/>
        <v/>
      </c>
      <c r="G30" s="281">
        <f t="shared" si="3"/>
        <v>43552</v>
      </c>
      <c r="H30" s="281">
        <f t="shared" si="3"/>
        <v>43620</v>
      </c>
      <c r="I30" s="282" t="str">
        <f t="shared" si="3"/>
        <v/>
      </c>
      <c r="J30" s="282" t="str">
        <f t="shared" si="3"/>
        <v/>
      </c>
      <c r="K30" s="235" t="s">
        <v>141</v>
      </c>
      <c r="L30" s="23">
        <v>37027.81</v>
      </c>
      <c r="M30" s="23"/>
      <c r="N30" s="22"/>
      <c r="O30" s="22"/>
      <c r="P30" s="25"/>
      <c r="Q30" s="209">
        <f t="shared" ref="Q30:Q60" si="4">SUM(L30:P30)</f>
        <v>37027.81</v>
      </c>
    </row>
    <row r="31" spans="2:17" ht="30" x14ac:dyDescent="0.2">
      <c r="B31" s="236">
        <v>10</v>
      </c>
      <c r="C31" s="183" t="s">
        <v>27</v>
      </c>
      <c r="D31" s="279">
        <f t="shared" ref="D31:I31" si="5">IF(ISBLANK(D29),"",D29)</f>
        <v>54</v>
      </c>
      <c r="E31" s="283" t="str">
        <f t="shared" si="5"/>
        <v>Addressing Metabolic Syndrome and its Components</v>
      </c>
      <c r="F31" s="284" t="str">
        <f t="shared" si="5"/>
        <v/>
      </c>
      <c r="G31" s="284">
        <f t="shared" si="5"/>
        <v>43552</v>
      </c>
      <c r="H31" s="284">
        <f t="shared" si="5"/>
        <v>43620</v>
      </c>
      <c r="I31" s="235" t="str">
        <f t="shared" si="5"/>
        <v/>
      </c>
      <c r="J31" s="235" t="str">
        <f t="shared" si="3"/>
        <v/>
      </c>
      <c r="K31" s="235" t="s">
        <v>197</v>
      </c>
      <c r="L31" s="23">
        <v>88113.38</v>
      </c>
      <c r="M31" s="23"/>
      <c r="N31" s="22"/>
      <c r="O31" s="22"/>
      <c r="P31" s="25"/>
      <c r="Q31" s="209">
        <f t="shared" si="4"/>
        <v>88113.38</v>
      </c>
    </row>
    <row r="32" spans="2:17" ht="31.5" x14ac:dyDescent="0.25">
      <c r="B32" s="285">
        <v>10</v>
      </c>
      <c r="C32" s="285" t="s">
        <v>202</v>
      </c>
      <c r="D32" s="286">
        <f t="shared" ref="D32:J32" si="6">IF(ISBLANK(D29),"",D29)</f>
        <v>54</v>
      </c>
      <c r="E32" s="287" t="str">
        <f t="shared" si="6"/>
        <v>Addressing Metabolic Syndrome and its Components</v>
      </c>
      <c r="F32" s="288" t="str">
        <f t="shared" si="6"/>
        <v/>
      </c>
      <c r="G32" s="288">
        <f t="shared" si="6"/>
        <v>43552</v>
      </c>
      <c r="H32" s="288">
        <f t="shared" si="6"/>
        <v>43620</v>
      </c>
      <c r="I32" s="289" t="str">
        <f t="shared" si="6"/>
        <v/>
      </c>
      <c r="J32" s="289" t="str">
        <f t="shared" si="6"/>
        <v/>
      </c>
      <c r="K32" s="239" t="s">
        <v>217</v>
      </c>
      <c r="L32" s="290">
        <f>SUM(L29:L31)</f>
        <v>128369.04000000001</v>
      </c>
      <c r="M32" s="290">
        <f>SUM(M29:M31)</f>
        <v>0</v>
      </c>
      <c r="N32" s="291">
        <f t="shared" ref="N32:P32" si="7">SUM(N29:N31)</f>
        <v>0</v>
      </c>
      <c r="O32" s="291">
        <f t="shared" si="7"/>
        <v>0</v>
      </c>
      <c r="P32" s="292">
        <f t="shared" si="7"/>
        <v>0</v>
      </c>
      <c r="Q32" s="239">
        <f t="shared" si="4"/>
        <v>128369.04000000001</v>
      </c>
    </row>
    <row r="33" spans="2:17" x14ac:dyDescent="0.2">
      <c r="B33" s="236">
        <v>11</v>
      </c>
      <c r="C33" s="224" t="s">
        <v>23</v>
      </c>
      <c r="D33" s="259">
        <f>IF(Q36&lt;&gt;0,VLOOKUP($E$9,Info_County_Code,2,FALSE),"")</f>
        <v>54</v>
      </c>
      <c r="E33" s="113" t="s">
        <v>821</v>
      </c>
      <c r="F33" s="29"/>
      <c r="G33" s="29">
        <v>43552</v>
      </c>
      <c r="H33" s="29">
        <v>43647</v>
      </c>
      <c r="I33" s="22"/>
      <c r="J33" s="22"/>
      <c r="K33" s="278" t="str">
        <f>IF(NOT(ISBLANK(E33)),$K$29,"")</f>
        <v>Project Administration</v>
      </c>
      <c r="L33" s="23">
        <v>0</v>
      </c>
      <c r="M33" s="23"/>
      <c r="N33" s="22"/>
      <c r="O33" s="22"/>
      <c r="P33" s="25"/>
      <c r="Q33" s="209">
        <f t="shared" ref="Q33:Q36" si="8">SUM(L33:P33)</f>
        <v>0</v>
      </c>
    </row>
    <row r="34" spans="2:17" x14ac:dyDescent="0.2">
      <c r="B34" s="236">
        <v>11</v>
      </c>
      <c r="C34" s="183" t="s">
        <v>25</v>
      </c>
      <c r="D34" s="279">
        <f t="shared" ref="D34:J34" si="9">IF(ISBLANK(D33),"",D33)</f>
        <v>54</v>
      </c>
      <c r="E34" s="280" t="str">
        <f t="shared" si="9"/>
        <v>Connectedness 2 Community</v>
      </c>
      <c r="F34" s="281" t="str">
        <f t="shared" si="9"/>
        <v/>
      </c>
      <c r="G34" s="281">
        <f t="shared" si="9"/>
        <v>43552</v>
      </c>
      <c r="H34" s="281">
        <f t="shared" si="9"/>
        <v>43647</v>
      </c>
      <c r="I34" s="282" t="str">
        <f t="shared" si="9"/>
        <v/>
      </c>
      <c r="J34" s="282" t="str">
        <f t="shared" si="9"/>
        <v/>
      </c>
      <c r="K34" s="235" t="str">
        <f>IF(NOT(ISBLANK(E33)),$K$30,"")</f>
        <v>Project Evaluation</v>
      </c>
      <c r="L34" s="23">
        <v>0</v>
      </c>
      <c r="M34" s="23"/>
      <c r="N34" s="22"/>
      <c r="O34" s="22"/>
      <c r="P34" s="25"/>
      <c r="Q34" s="209">
        <f t="shared" si="8"/>
        <v>0</v>
      </c>
    </row>
    <row r="35" spans="2:17" x14ac:dyDescent="0.2">
      <c r="B35" s="236">
        <v>11</v>
      </c>
      <c r="C35" s="183" t="s">
        <v>27</v>
      </c>
      <c r="D35" s="279">
        <f t="shared" ref="D35:J35" si="10">IF(ISBLANK(D33),"",D33)</f>
        <v>54</v>
      </c>
      <c r="E35" s="283" t="str">
        <f t="shared" si="10"/>
        <v>Connectedness 2 Community</v>
      </c>
      <c r="F35" s="284" t="str">
        <f t="shared" si="10"/>
        <v/>
      </c>
      <c r="G35" s="284">
        <f t="shared" si="10"/>
        <v>43552</v>
      </c>
      <c r="H35" s="284">
        <f t="shared" si="10"/>
        <v>43647</v>
      </c>
      <c r="I35" s="235" t="str">
        <f t="shared" si="10"/>
        <v/>
      </c>
      <c r="J35" s="235" t="str">
        <f t="shared" si="10"/>
        <v/>
      </c>
      <c r="K35" s="235" t="str">
        <f>IF(NOT(ISBLANK(E33)),$K$31,"")</f>
        <v>Project Direct</v>
      </c>
      <c r="L35" s="23">
        <v>140133.68</v>
      </c>
      <c r="M35" s="23"/>
      <c r="N35" s="22"/>
      <c r="O35" s="22"/>
      <c r="P35" s="25"/>
      <c r="Q35" s="209">
        <f t="shared" si="8"/>
        <v>140133.68</v>
      </c>
    </row>
    <row r="36" spans="2:17" ht="15.75" x14ac:dyDescent="0.25">
      <c r="B36" s="285">
        <v>11</v>
      </c>
      <c r="C36" s="285" t="s">
        <v>202</v>
      </c>
      <c r="D36" s="286">
        <f t="shared" ref="D36:J36" si="11">IF(ISBLANK(D33),"",D33)</f>
        <v>54</v>
      </c>
      <c r="E36" s="287" t="str">
        <f t="shared" si="11"/>
        <v>Connectedness 2 Community</v>
      </c>
      <c r="F36" s="288" t="str">
        <f t="shared" si="11"/>
        <v/>
      </c>
      <c r="G36" s="288">
        <f t="shared" si="11"/>
        <v>43552</v>
      </c>
      <c r="H36" s="288">
        <f t="shared" si="11"/>
        <v>43647</v>
      </c>
      <c r="I36" s="289" t="str">
        <f t="shared" si="11"/>
        <v/>
      </c>
      <c r="J36" s="289" t="str">
        <f t="shared" si="11"/>
        <v/>
      </c>
      <c r="K36" s="239" t="str">
        <f>IF(NOT(ISBLANK(E33)),$K$32,"")</f>
        <v>Project Subtotal</v>
      </c>
      <c r="L36" s="290">
        <f t="shared" ref="L36" si="12">SUM(L33:L35)</f>
        <v>140133.68</v>
      </c>
      <c r="M36" s="290">
        <f>SUM(M33:M35)</f>
        <v>0</v>
      </c>
      <c r="N36" s="291">
        <f t="shared" ref="N36:P36" si="13">SUM(N33:N35)</f>
        <v>0</v>
      </c>
      <c r="O36" s="291">
        <f t="shared" si="13"/>
        <v>0</v>
      </c>
      <c r="P36" s="292">
        <f t="shared" si="13"/>
        <v>0</v>
      </c>
      <c r="Q36" s="239">
        <f t="shared" si="8"/>
        <v>140133.68</v>
      </c>
    </row>
    <row r="37" spans="2:17" x14ac:dyDescent="0.2">
      <c r="B37" s="236">
        <v>12</v>
      </c>
      <c r="C37" s="224" t="s">
        <v>23</v>
      </c>
      <c r="D37" s="259">
        <f>IF(Q40&lt;&gt;0,VLOOKUP($E$9,Info_County_Code,2,FALSE),"")</f>
        <v>54</v>
      </c>
      <c r="E37" s="113" t="s">
        <v>822</v>
      </c>
      <c r="F37" s="29"/>
      <c r="G37" s="29">
        <v>43993</v>
      </c>
      <c r="H37" s="29">
        <v>44013</v>
      </c>
      <c r="I37" s="22"/>
      <c r="J37" s="22"/>
      <c r="K37" s="278" t="str">
        <f>IF(NOT(ISBLANK(E37)),$K$29,"")</f>
        <v>Project Administration</v>
      </c>
      <c r="L37" s="23">
        <v>68473.42</v>
      </c>
      <c r="M37" s="23"/>
      <c r="N37" s="22"/>
      <c r="O37" s="22"/>
      <c r="P37" s="25"/>
      <c r="Q37" s="209">
        <f t="shared" si="4"/>
        <v>68473.42</v>
      </c>
    </row>
    <row r="38" spans="2:17" x14ac:dyDescent="0.2">
      <c r="B38" s="236">
        <v>12</v>
      </c>
      <c r="C38" s="183" t="s">
        <v>25</v>
      </c>
      <c r="D38" s="279">
        <f t="shared" ref="D38:J38" si="14">IF(ISBLANK(D37),"",D37)</f>
        <v>54</v>
      </c>
      <c r="E38" s="280" t="str">
        <f t="shared" si="14"/>
        <v>Advancing Behavioral Health</v>
      </c>
      <c r="F38" s="281" t="str">
        <f t="shared" si="14"/>
        <v/>
      </c>
      <c r="G38" s="281">
        <f t="shared" si="14"/>
        <v>43993</v>
      </c>
      <c r="H38" s="281">
        <f t="shared" si="14"/>
        <v>44013</v>
      </c>
      <c r="I38" s="282" t="str">
        <f t="shared" si="14"/>
        <v/>
      </c>
      <c r="J38" s="282" t="str">
        <f t="shared" si="14"/>
        <v/>
      </c>
      <c r="K38" s="235" t="str">
        <f>IF(NOT(ISBLANK(E37)),$K$30,"")</f>
        <v>Project Evaluation</v>
      </c>
      <c r="L38" s="23">
        <v>0</v>
      </c>
      <c r="M38" s="23"/>
      <c r="N38" s="22"/>
      <c r="O38" s="22"/>
      <c r="P38" s="25"/>
      <c r="Q38" s="209">
        <f t="shared" si="4"/>
        <v>0</v>
      </c>
    </row>
    <row r="39" spans="2:17" x14ac:dyDescent="0.2">
      <c r="B39" s="236">
        <v>12</v>
      </c>
      <c r="C39" s="183" t="s">
        <v>27</v>
      </c>
      <c r="D39" s="279">
        <f t="shared" ref="D39:J39" si="15">IF(ISBLANK(D37),"",D37)</f>
        <v>54</v>
      </c>
      <c r="E39" s="283" t="str">
        <f t="shared" si="15"/>
        <v>Advancing Behavioral Health</v>
      </c>
      <c r="F39" s="284" t="str">
        <f t="shared" si="15"/>
        <v/>
      </c>
      <c r="G39" s="284">
        <f t="shared" si="15"/>
        <v>43993</v>
      </c>
      <c r="H39" s="284">
        <f t="shared" si="15"/>
        <v>44013</v>
      </c>
      <c r="I39" s="235" t="str">
        <f t="shared" si="15"/>
        <v/>
      </c>
      <c r="J39" s="235" t="str">
        <f t="shared" si="15"/>
        <v/>
      </c>
      <c r="K39" s="235" t="str">
        <f>IF(NOT(ISBLANK(E37)),$K$31,"")</f>
        <v>Project Direct</v>
      </c>
      <c r="L39" s="23">
        <v>496771.89</v>
      </c>
      <c r="M39" s="23"/>
      <c r="N39" s="22"/>
      <c r="O39" s="22"/>
      <c r="P39" s="25"/>
      <c r="Q39" s="209">
        <f t="shared" si="4"/>
        <v>496771.89</v>
      </c>
    </row>
    <row r="40" spans="2:17" ht="15.75" x14ac:dyDescent="0.25">
      <c r="B40" s="285">
        <v>12</v>
      </c>
      <c r="C40" s="285" t="s">
        <v>202</v>
      </c>
      <c r="D40" s="286">
        <f t="shared" ref="D40:J40" si="16">IF(ISBLANK(D37),"",D37)</f>
        <v>54</v>
      </c>
      <c r="E40" s="287" t="str">
        <f t="shared" si="16"/>
        <v>Advancing Behavioral Health</v>
      </c>
      <c r="F40" s="288" t="str">
        <f t="shared" si="16"/>
        <v/>
      </c>
      <c r="G40" s="288">
        <f t="shared" si="16"/>
        <v>43993</v>
      </c>
      <c r="H40" s="288">
        <f t="shared" si="16"/>
        <v>44013</v>
      </c>
      <c r="I40" s="289" t="str">
        <f t="shared" si="16"/>
        <v/>
      </c>
      <c r="J40" s="289" t="str">
        <f t="shared" si="16"/>
        <v/>
      </c>
      <c r="K40" s="239" t="str">
        <f>IF(NOT(ISBLANK(E37)),$K$32,"")</f>
        <v>Project Subtotal</v>
      </c>
      <c r="L40" s="290">
        <f t="shared" ref="L40" si="17">SUM(L37:L39)</f>
        <v>565245.31000000006</v>
      </c>
      <c r="M40" s="290">
        <f>SUM(M37:M39)</f>
        <v>0</v>
      </c>
      <c r="N40" s="291">
        <f t="shared" ref="N40" si="18">SUM(N37:N39)</f>
        <v>0</v>
      </c>
      <c r="O40" s="291">
        <f t="shared" ref="O40" si="19">SUM(O37:O39)</f>
        <v>0</v>
      </c>
      <c r="P40" s="292">
        <f t="shared" ref="P40" si="20">SUM(P37:P39)</f>
        <v>0</v>
      </c>
      <c r="Q40" s="239">
        <f t="shared" si="4"/>
        <v>565245.31000000006</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ht="30"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ht="30"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31.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30.75" x14ac:dyDescent="0.25">
      <c r="A40" s="331" t="s">
        <v>508</v>
      </c>
    </row>
    <row r="41" spans="1:1" ht="30.75" x14ac:dyDescent="0.25">
      <c r="A41" s="331" t="s">
        <v>509</v>
      </c>
    </row>
    <row r="42" spans="1:1" ht="30.75" x14ac:dyDescent="0.25">
      <c r="A42" s="331" t="s">
        <v>510</v>
      </c>
    </row>
    <row r="43" spans="1:1" ht="30.75" x14ac:dyDescent="0.25">
      <c r="A43" s="331" t="s">
        <v>511</v>
      </c>
    </row>
    <row r="44" spans="1:1" ht="30.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75.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6" zoomScale="80" zoomScaleNormal="80" zoomScaleSheetLayoutView="55" workbookViewId="0">
      <selection activeCell="F16" sqref="F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Tulare</v>
      </c>
      <c r="F9" s="190" t="s">
        <v>1</v>
      </c>
      <c r="G9" s="298" t="str">
        <f>IF(ISBLANK('1. Information'!D9),"",'1. Information'!D9)</f>
        <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c r="H15" s="109"/>
      <c r="I15" s="109"/>
      <c r="J15" s="109"/>
      <c r="K15" s="204">
        <f>SUM(F15:J15)</f>
        <v>0</v>
      </c>
      <c r="L15"/>
      <c r="M15"/>
    </row>
    <row r="16" spans="1:19" ht="15.75" x14ac:dyDescent="0.25">
      <c r="B16" s="236">
        <v>2</v>
      </c>
      <c r="C16" s="135" t="s">
        <v>14</v>
      </c>
      <c r="D16" s="205"/>
      <c r="E16" s="302"/>
      <c r="F16" s="109"/>
      <c r="G16" s="109"/>
      <c r="H16" s="109"/>
      <c r="I16" s="109"/>
      <c r="J16" s="109"/>
      <c r="K16" s="204">
        <f t="shared" ref="K16:K21" si="0">SUM(F16:J16)</f>
        <v>0</v>
      </c>
      <c r="L16"/>
      <c r="M16"/>
    </row>
    <row r="17" spans="2:19" ht="15.75" x14ac:dyDescent="0.25">
      <c r="B17" s="236">
        <v>3</v>
      </c>
      <c r="C17" s="135" t="s">
        <v>198</v>
      </c>
      <c r="D17" s="205"/>
      <c r="E17" s="302"/>
      <c r="F17" s="109">
        <v>5143.87</v>
      </c>
      <c r="G17" s="109"/>
      <c r="H17" s="109"/>
      <c r="I17" s="109"/>
      <c r="J17" s="109"/>
      <c r="K17" s="204">
        <f t="shared" si="0"/>
        <v>5143.87</v>
      </c>
      <c r="L17"/>
      <c r="M17"/>
    </row>
    <row r="18" spans="2:19" ht="15.75" x14ac:dyDescent="0.25">
      <c r="B18" s="236">
        <v>4</v>
      </c>
      <c r="C18" s="135" t="s">
        <v>189</v>
      </c>
      <c r="D18" s="205"/>
      <c r="E18" s="302"/>
      <c r="F18" s="109"/>
      <c r="G18" s="235"/>
      <c r="H18" s="235"/>
      <c r="I18" s="235"/>
      <c r="J18" s="235"/>
      <c r="K18" s="204">
        <f>F18</f>
        <v>0</v>
      </c>
      <c r="L18"/>
      <c r="M18"/>
    </row>
    <row r="19" spans="2:19" ht="15.75" x14ac:dyDescent="0.25">
      <c r="B19" s="236">
        <v>5</v>
      </c>
      <c r="C19" s="135" t="s">
        <v>296</v>
      </c>
      <c r="D19" s="205"/>
      <c r="E19" s="302"/>
      <c r="F19" s="109"/>
      <c r="G19" s="235"/>
      <c r="H19" s="235"/>
      <c r="I19" s="235"/>
      <c r="J19" s="235"/>
      <c r="K19" s="204">
        <f>F19</f>
        <v>0</v>
      </c>
      <c r="L19"/>
      <c r="M19"/>
    </row>
    <row r="20" spans="2:19" ht="15.75" x14ac:dyDescent="0.25">
      <c r="B20" s="236">
        <v>6</v>
      </c>
      <c r="C20" s="205" t="s">
        <v>153</v>
      </c>
      <c r="D20" s="208"/>
      <c r="E20" s="206"/>
      <c r="F20" s="282">
        <f>SUM(E28:E32)</f>
        <v>138897.50999999998</v>
      </c>
      <c r="G20" s="303">
        <f t="shared" ref="G20:I20" si="1">SUM(F28:F32)</f>
        <v>0</v>
      </c>
      <c r="H20" s="282">
        <f t="shared" si="1"/>
        <v>0</v>
      </c>
      <c r="I20" s="282">
        <f t="shared" si="1"/>
        <v>0</v>
      </c>
      <c r="J20" s="282">
        <f>SUM(I28:I32)</f>
        <v>0</v>
      </c>
      <c r="K20" s="209">
        <f t="shared" si="0"/>
        <v>138897.50999999998</v>
      </c>
      <c r="L20"/>
      <c r="M20"/>
    </row>
    <row r="21" spans="2:19" ht="30.95" customHeight="1" x14ac:dyDescent="0.25">
      <c r="B21" s="236">
        <v>7</v>
      </c>
      <c r="C21" s="237" t="s">
        <v>188</v>
      </c>
      <c r="D21" s="237"/>
      <c r="E21" s="237"/>
      <c r="F21" s="239">
        <f>SUM(F15:F17,F19:F20)</f>
        <v>144041.37999999998</v>
      </c>
      <c r="G21" s="214">
        <f>SUM(G15:G17,G20)</f>
        <v>0</v>
      </c>
      <c r="H21" s="213">
        <f>SUM(H15:H17,H20)</f>
        <v>0</v>
      </c>
      <c r="I21" s="213">
        <f>SUM(I15:I17,I20)</f>
        <v>0</v>
      </c>
      <c r="J21" s="213">
        <f>SUM(J15:J17,J20)</f>
        <v>0</v>
      </c>
      <c r="K21" s="239">
        <f t="shared" si="0"/>
        <v>144041.37999999998</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f t="shared" ref="C28:C32" si="2">IF(J28&lt;&gt;0,VLOOKUP($D$9,Info_County_Code,2,FALSE),"")</f>
        <v>54</v>
      </c>
      <c r="D28" s="305" t="s">
        <v>98</v>
      </c>
      <c r="E28" s="22">
        <v>7038.24</v>
      </c>
      <c r="F28" s="23"/>
      <c r="G28" s="22"/>
      <c r="H28" s="22"/>
      <c r="I28" s="108"/>
      <c r="J28" s="235">
        <f>SUM(E28:I28)</f>
        <v>7038.24</v>
      </c>
      <c r="K28"/>
      <c r="L28"/>
      <c r="M28"/>
      <c r="N28"/>
      <c r="O28"/>
      <c r="P28"/>
      <c r="Q28"/>
      <c r="R28"/>
    </row>
    <row r="29" spans="2:19" ht="15.75" x14ac:dyDescent="0.25">
      <c r="B29" s="236">
        <v>9</v>
      </c>
      <c r="C29" s="259">
        <f t="shared" si="2"/>
        <v>54</v>
      </c>
      <c r="D29" s="305" t="s">
        <v>99</v>
      </c>
      <c r="E29" s="22">
        <v>131859.26999999999</v>
      </c>
      <c r="F29" s="23"/>
      <c r="G29" s="22"/>
      <c r="H29" s="22"/>
      <c r="I29" s="108"/>
      <c r="J29" s="235">
        <f t="shared" ref="J29:J32" si="3">SUM(E29:I29)</f>
        <v>131859.26999999999</v>
      </c>
      <c r="K29"/>
      <c r="L29"/>
      <c r="M29"/>
      <c r="N29"/>
      <c r="O29"/>
      <c r="P29"/>
      <c r="Q29"/>
      <c r="R29"/>
    </row>
    <row r="30" spans="2:19" ht="15.75" x14ac:dyDescent="0.25">
      <c r="B30" s="236">
        <v>10</v>
      </c>
      <c r="C30" s="259" t="str">
        <f t="shared" si="2"/>
        <v/>
      </c>
      <c r="D30" s="184" t="s">
        <v>295</v>
      </c>
      <c r="E30" s="22"/>
      <c r="F30" s="23"/>
      <c r="G30" s="22"/>
      <c r="H30" s="22"/>
      <c r="I30" s="108"/>
      <c r="J30" s="235">
        <f t="shared" si="3"/>
        <v>0</v>
      </c>
      <c r="K30"/>
      <c r="L30"/>
      <c r="M30"/>
      <c r="N30"/>
      <c r="O30"/>
      <c r="P30"/>
      <c r="Q30"/>
      <c r="R30"/>
    </row>
    <row r="31" spans="2:19" ht="15.75" x14ac:dyDescent="0.25">
      <c r="B31" s="236">
        <v>11</v>
      </c>
      <c r="C31" s="259" t="str">
        <f t="shared" si="2"/>
        <v/>
      </c>
      <c r="D31" s="305" t="s">
        <v>101</v>
      </c>
      <c r="E31" s="22"/>
      <c r="F31" s="23"/>
      <c r="G31" s="22"/>
      <c r="H31" s="22"/>
      <c r="I31" s="108"/>
      <c r="J31" s="235">
        <f t="shared" si="3"/>
        <v>0</v>
      </c>
      <c r="K31"/>
      <c r="L31"/>
      <c r="M31"/>
      <c r="N31"/>
      <c r="O31"/>
      <c r="P31"/>
      <c r="Q31"/>
      <c r="R31"/>
    </row>
    <row r="32" spans="2:19" ht="15.75" x14ac:dyDescent="0.2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Tulare</v>
      </c>
      <c r="E9" s="8"/>
      <c r="F9" s="134" t="s">
        <v>1</v>
      </c>
      <c r="G9" s="226" t="str">
        <f>IF(ISBLANK('1. Information'!D9),"",'1. Information'!D9)</f>
        <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c r="H15" s="109"/>
      <c r="I15" s="109"/>
      <c r="J15" s="109"/>
      <c r="K15" s="278">
        <f>SUM(F15:J15)</f>
        <v>0</v>
      </c>
      <c r="L15"/>
      <c r="M15"/>
      <c r="U15" s="20"/>
      <c r="V15" s="20"/>
      <c r="W15" s="20"/>
    </row>
    <row r="16" spans="1:23" x14ac:dyDescent="0.25">
      <c r="B16" s="236">
        <v>2</v>
      </c>
      <c r="C16" s="134" t="s">
        <v>309</v>
      </c>
      <c r="D16" s="189"/>
      <c r="E16" s="307"/>
      <c r="F16" s="109"/>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c r="H17" s="109"/>
      <c r="I17" s="109"/>
      <c r="J17" s="109"/>
      <c r="K17" s="278">
        <f t="shared" si="0"/>
        <v>0</v>
      </c>
      <c r="L17"/>
      <c r="M17"/>
      <c r="U17" s="20"/>
      <c r="V17" s="20"/>
      <c r="W17" s="20"/>
    </row>
    <row r="18" spans="2:23" x14ac:dyDescent="0.2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25">
      <c r="B28" s="236">
        <v>9</v>
      </c>
      <c r="C28" s="259" t="str">
        <f t="shared" si="3"/>
        <v/>
      </c>
      <c r="D28" s="113"/>
      <c r="E28" s="113"/>
      <c r="F28" s="107"/>
      <c r="G28" s="106"/>
      <c r="H28" s="106"/>
      <c r="I28" s="106"/>
      <c r="J28" s="109"/>
      <c r="K28" s="106"/>
      <c r="L28" s="313">
        <f t="shared" ref="L28:L46" si="4">SUM(G28:K28)</f>
        <v>0</v>
      </c>
      <c r="M28"/>
      <c r="U28" s="20"/>
      <c r="V28" s="20"/>
      <c r="W28" s="20"/>
    </row>
    <row r="29" spans="2:23" x14ac:dyDescent="0.25">
      <c r="B29" s="236">
        <v>10</v>
      </c>
      <c r="C29" s="259" t="str">
        <f t="shared" si="3"/>
        <v/>
      </c>
      <c r="D29" s="113"/>
      <c r="E29" s="113"/>
      <c r="F29" s="107"/>
      <c r="G29" s="106"/>
      <c r="H29" s="106"/>
      <c r="I29" s="106"/>
      <c r="J29" s="109"/>
      <c r="K29" s="106"/>
      <c r="L29" s="313">
        <f t="shared" si="4"/>
        <v>0</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abSelected="1" zoomScale="85" zoomScaleNormal="85" workbookViewId="0">
      <selection activeCell="H17" sqref="H17"/>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Tulare</v>
      </c>
      <c r="E9" s="2"/>
      <c r="F9" s="285" t="s">
        <v>156</v>
      </c>
      <c r="G9" s="226" t="str">
        <f>IF(ISBLANK('1. Information'!D9),"",'1. Information'!D9)</f>
        <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ht="30" x14ac:dyDescent="0.2">
      <c r="B15" s="236">
        <v>1</v>
      </c>
      <c r="C15" s="259">
        <f t="shared" ref="C15:C44" si="0">IF(G15&lt;&gt;0,VLOOKUP($D$9,Info_County_Code,2,FALSE),"")</f>
        <v>54</v>
      </c>
      <c r="D15" s="30" t="s">
        <v>32</v>
      </c>
      <c r="E15" s="30" t="s">
        <v>823</v>
      </c>
      <c r="F15" s="125" t="s">
        <v>824</v>
      </c>
      <c r="G15" s="111">
        <v>-299125.09000000003</v>
      </c>
      <c r="H15" s="113" t="s">
        <v>827</v>
      </c>
    </row>
    <row r="16" spans="1:8" ht="30" x14ac:dyDescent="0.2">
      <c r="B16" s="236">
        <v>2</v>
      </c>
      <c r="C16" s="259">
        <f t="shared" si="0"/>
        <v>54</v>
      </c>
      <c r="D16" s="30" t="s">
        <v>28</v>
      </c>
      <c r="E16" s="117" t="s">
        <v>823</v>
      </c>
      <c r="F16" s="125" t="s">
        <v>824</v>
      </c>
      <c r="G16" s="111">
        <v>299125.09000000003</v>
      </c>
      <c r="H16" s="113" t="s">
        <v>828</v>
      </c>
    </row>
    <row r="17" spans="2:8" x14ac:dyDescent="0.2">
      <c r="B17" s="236">
        <v>3</v>
      </c>
      <c r="C17" s="259">
        <f t="shared" si="0"/>
        <v>54</v>
      </c>
      <c r="D17" s="30" t="s">
        <v>29</v>
      </c>
      <c r="E17" s="117" t="s">
        <v>823</v>
      </c>
      <c r="F17" s="125" t="s">
        <v>825</v>
      </c>
      <c r="G17" s="111">
        <v>-3069.11</v>
      </c>
      <c r="H17" s="113" t="s">
        <v>826</v>
      </c>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x14ac:dyDescent="0.2">
      <c r="B51" s="236">
        <v>31</v>
      </c>
      <c r="C51" s="259" t="str">
        <f t="shared" ref="C51:C80" si="1">IF(F51&lt;&gt;0,VLOOKUP($D$9,Info_County_Code,2,FALSE),"")</f>
        <v/>
      </c>
      <c r="D51" s="319" t="s">
        <v>166</v>
      </c>
      <c r="E51" s="125"/>
      <c r="F51" s="111"/>
      <c r="G51" s="113"/>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Tulare</v>
      </c>
      <c r="F9" s="190" t="s">
        <v>1</v>
      </c>
      <c r="G9" s="298" t="str">
        <f>IF(ISBLANK('1. Information'!D9),"",'1. Information'!D9)</f>
        <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row>
    <row r="10" spans="1:5" ht="34.5" customHeight="1" x14ac:dyDescent="0.2">
      <c r="B10" s="169">
        <v>2</v>
      </c>
      <c r="C10" s="171" t="s">
        <v>303</v>
      </c>
      <c r="D10" s="114" t="s">
        <v>782</v>
      </c>
    </row>
    <row r="11" spans="1:5" ht="34.5" customHeight="1" x14ac:dyDescent="0.2">
      <c r="B11" s="169">
        <v>3</v>
      </c>
      <c r="C11" s="170" t="s">
        <v>0</v>
      </c>
      <c r="D11" s="114" t="s">
        <v>89</v>
      </c>
    </row>
    <row r="12" spans="1:5" ht="34.5" customHeight="1" x14ac:dyDescent="0.2">
      <c r="B12" s="169">
        <v>4</v>
      </c>
      <c r="C12" s="172" t="s">
        <v>113</v>
      </c>
      <c r="D12" s="150">
        <f>IF(ISBLANK(D11),"",VLOOKUP(D11,Info_County_Code,2))</f>
        <v>54</v>
      </c>
    </row>
    <row r="13" spans="1:5" ht="34.5" customHeight="1" x14ac:dyDescent="0.2">
      <c r="B13" s="169">
        <v>5</v>
      </c>
      <c r="C13" s="170" t="s">
        <v>114</v>
      </c>
      <c r="D13" s="351" t="s">
        <v>783</v>
      </c>
    </row>
    <row r="14" spans="1:5" ht="34.5" customHeight="1" x14ac:dyDescent="0.2">
      <c r="B14" s="169">
        <v>6</v>
      </c>
      <c r="C14" s="170" t="s">
        <v>115</v>
      </c>
      <c r="D14" s="114" t="s">
        <v>784</v>
      </c>
    </row>
    <row r="15" spans="1:5" ht="34.5" customHeight="1" x14ac:dyDescent="0.2">
      <c r="B15" s="169">
        <v>7</v>
      </c>
      <c r="C15" s="170" t="s">
        <v>116</v>
      </c>
      <c r="D15" s="143">
        <v>93277</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14" t="s">
        <v>785</v>
      </c>
    </row>
    <row r="18" spans="2:4" ht="34.5" customHeight="1" x14ac:dyDescent="0.2">
      <c r="B18" s="169">
        <v>10</v>
      </c>
      <c r="C18" s="174" t="s">
        <v>167</v>
      </c>
      <c r="D18" s="352" t="s">
        <v>786</v>
      </c>
    </row>
    <row r="19" spans="2:4" ht="34.5" customHeight="1" x14ac:dyDescent="0.2">
      <c r="B19" s="169">
        <v>11</v>
      </c>
      <c r="C19" s="174" t="s">
        <v>184</v>
      </c>
      <c r="D19" s="352" t="s">
        <v>787</v>
      </c>
    </row>
    <row r="20" spans="2:4" ht="34.5" customHeight="1" x14ac:dyDescent="0.2">
      <c r="B20" s="169">
        <v>12</v>
      </c>
      <c r="C20" s="171" t="s">
        <v>280</v>
      </c>
      <c r="D20" s="353"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Tulare</v>
      </c>
      <c r="F9" s="190" t="s">
        <v>1</v>
      </c>
      <c r="G9" s="298" t="str">
        <f>IF(ISBLANK('1. Information'!D9),"",'1. Information'!D9)</f>
        <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Tulare</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3" zoomScale="80" zoomScaleNormal="80" zoomScaleSheetLayoutView="40" zoomScalePageLayoutView="85" workbookViewId="0">
      <selection activeCell="F20" sqref="F20"/>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Tulare</v>
      </c>
      <c r="F9" s="175" t="s">
        <v>1</v>
      </c>
      <c r="G9" s="153" t="str">
        <f>IF(ISBLANK('1. Information'!D9),"",'1. Information'!D9)</f>
        <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v>484055.91</v>
      </c>
      <c r="E14" s="124">
        <v>118690.91</v>
      </c>
      <c r="F14" s="124">
        <v>116217.81</v>
      </c>
      <c r="G14" s="124">
        <v>0</v>
      </c>
      <c r="H14" s="124">
        <v>0</v>
      </c>
      <c r="I14" s="154">
        <f>SUM(D14:H14)</f>
        <v>718964.62999999989</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4993506</v>
      </c>
      <c r="G19" s="102"/>
      <c r="H19" s="102"/>
      <c r="I19" s="102"/>
    </row>
    <row r="20" spans="2:10" x14ac:dyDescent="0.2">
      <c r="B20" s="181">
        <v>4</v>
      </c>
      <c r="C20" s="185" t="s">
        <v>22</v>
      </c>
      <c r="D20" s="124"/>
      <c r="E20" s="124"/>
      <c r="F20" s="155">
        <f>-D20-E20</f>
        <v>0</v>
      </c>
      <c r="G20" s="102"/>
      <c r="H20" s="102"/>
      <c r="I20" s="102"/>
    </row>
    <row r="21" spans="2:10" x14ac:dyDescent="0.2">
      <c r="B21" s="181">
        <v>5</v>
      </c>
      <c r="C21" s="185" t="s">
        <v>253</v>
      </c>
      <c r="D21" s="161">
        <f>'3. CSS'!F24</f>
        <v>49147.98</v>
      </c>
      <c r="E21" s="159"/>
      <c r="F21" s="154">
        <f>SUM(D21:E21)</f>
        <v>49147.98</v>
      </c>
      <c r="G21" s="102"/>
      <c r="H21" s="102"/>
      <c r="I21" s="102"/>
    </row>
    <row r="22" spans="2:10" x14ac:dyDescent="0.2">
      <c r="B22" s="181">
        <v>6</v>
      </c>
      <c r="C22" s="185" t="s">
        <v>252</v>
      </c>
      <c r="D22" s="160"/>
      <c r="E22" s="160"/>
      <c r="F22" s="154">
        <f>SUM('8. Adjustment (MHSA)'!F51:F80)</f>
        <v>0</v>
      </c>
      <c r="G22" s="102"/>
      <c r="H22" s="102"/>
      <c r="I22" s="102"/>
    </row>
    <row r="23" spans="2:10" x14ac:dyDescent="0.2">
      <c r="B23" s="176">
        <v>7</v>
      </c>
      <c r="C23" s="182" t="s">
        <v>236</v>
      </c>
      <c r="D23" s="160"/>
      <c r="E23" s="160"/>
      <c r="F23" s="156">
        <f>F19+F20+F21+F22</f>
        <v>5042653.9800000004</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-549147.98</v>
      </c>
      <c r="E27" s="154">
        <f>'3. CSS'!F21</f>
        <v>0</v>
      </c>
      <c r="F27" s="154">
        <f>'3. CSS'!F22</f>
        <v>500000</v>
      </c>
      <c r="G27" s="161">
        <f>'3. CSS'!F23</f>
        <v>0</v>
      </c>
      <c r="H27" s="161">
        <f>'3. CSS'!F24</f>
        <v>49147.98</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19583900.150000002</v>
      </c>
      <c r="E31" s="161">
        <f>'4. PEI'!F22</f>
        <v>3858658.6900000004</v>
      </c>
      <c r="F31" s="161">
        <f>'5. INN'!F23</f>
        <v>962218.39999999991</v>
      </c>
      <c r="G31" s="161">
        <f>'6. WET'!F21</f>
        <v>144041.37999999998</v>
      </c>
      <c r="H31" s="161">
        <f>'7. CFTN'!F21</f>
        <v>0</v>
      </c>
      <c r="I31" s="161">
        <f t="shared" ref="I31:I35" si="0">SUM(D31:H31)</f>
        <v>24548818.620000001</v>
      </c>
    </row>
    <row r="32" spans="2:10" x14ac:dyDescent="0.2">
      <c r="B32" s="176">
        <v>10</v>
      </c>
      <c r="C32" s="188" t="s">
        <v>4</v>
      </c>
      <c r="D32" s="156">
        <f>'3. CSS'!G27</f>
        <v>4447211.24</v>
      </c>
      <c r="E32" s="156">
        <f>'4. PEI'!G22</f>
        <v>0</v>
      </c>
      <c r="F32" s="156">
        <f>'5. INN'!G23</f>
        <v>0</v>
      </c>
      <c r="G32" s="156">
        <f>'6. WET'!G21</f>
        <v>0</v>
      </c>
      <c r="H32" s="156">
        <f>'7. CFTN'!G21</f>
        <v>0</v>
      </c>
      <c r="I32" s="161">
        <f t="shared" si="0"/>
        <v>4447211.24</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414202.22</v>
      </c>
      <c r="E35" s="156">
        <f>'4. PEI'!J22</f>
        <v>0</v>
      </c>
      <c r="F35" s="156">
        <f>'5. INN'!J23</f>
        <v>0</v>
      </c>
      <c r="G35" s="156">
        <f>'6. WET'!J21</f>
        <v>0</v>
      </c>
      <c r="H35" s="156">
        <f>'7. CFTN'!J21</f>
        <v>0</v>
      </c>
      <c r="I35" s="161">
        <f t="shared" si="0"/>
        <v>414202.22</v>
      </c>
    </row>
    <row r="36" spans="2:9" ht="15.75" x14ac:dyDescent="0.25">
      <c r="B36" s="176">
        <v>14</v>
      </c>
      <c r="C36" s="135" t="s">
        <v>21</v>
      </c>
      <c r="D36" s="162">
        <f>SUM(D31:D35)</f>
        <v>24445313.609999999</v>
      </c>
      <c r="E36" s="162">
        <f t="shared" ref="E36:H36" si="1">SUM(E31:E35)</f>
        <v>3858658.6900000004</v>
      </c>
      <c r="F36" s="162">
        <f t="shared" si="1"/>
        <v>962218.39999999991</v>
      </c>
      <c r="G36" s="162">
        <f t="shared" si="1"/>
        <v>144041.37999999998</v>
      </c>
      <c r="H36" s="162">
        <f t="shared" si="1"/>
        <v>0</v>
      </c>
      <c r="I36" s="163">
        <f>SUM(D36:H36)</f>
        <v>29410232.079999998</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'3. CSS'!K15+'4. PEI'!K15+'5. INN'!K15+'6. WET'!K15+'7. CFTN'!K15</f>
        <v>37784.480000000003</v>
      </c>
      <c r="E40" s="127"/>
      <c r="I40" s="102"/>
    </row>
    <row r="41" spans="2:9" ht="15.75" x14ac:dyDescent="0.25">
      <c r="B41" s="176">
        <v>16</v>
      </c>
      <c r="C41" s="134" t="s">
        <v>19</v>
      </c>
      <c r="D41" s="164">
        <f>'3. CSS'!F16+'4. PEI'!F16+'5. INN'!F20+'6. WET'!F16+'7. CFTN'!F16</f>
        <v>164340</v>
      </c>
      <c r="E41" s="104"/>
      <c r="I41" s="102"/>
    </row>
    <row r="42" spans="2:9" ht="15.75" x14ac:dyDescent="0.25">
      <c r="B42" s="176">
        <v>17</v>
      </c>
      <c r="C42" s="134" t="s">
        <v>20</v>
      </c>
      <c r="D42" s="165">
        <f>'3. CSS'!F17+'4. PEI'!F17+'5. INN'!F16+'5. INN'!F19+'6. WET'!F17+'7. CFTN'!F17</f>
        <v>3337552.41</v>
      </c>
      <c r="E42" s="104"/>
      <c r="I42" s="102"/>
    </row>
    <row r="43" spans="2:9" ht="15.75" x14ac:dyDescent="0.25">
      <c r="B43" s="176">
        <v>18</v>
      </c>
      <c r="C43" s="189" t="s">
        <v>243</v>
      </c>
      <c r="D43" s="124"/>
    </row>
    <row r="44" spans="2:9" ht="15.75" x14ac:dyDescent="0.25">
      <c r="B44" s="176">
        <v>19</v>
      </c>
      <c r="C44" s="134" t="s">
        <v>244</v>
      </c>
      <c r="D44" s="166">
        <f>'4. PEI'!F18</f>
        <v>0</v>
      </c>
    </row>
    <row r="45" spans="2:9" ht="15.75" x14ac:dyDescent="0.25">
      <c r="B45" s="176">
        <v>20</v>
      </c>
      <c r="C45" s="189" t="s">
        <v>245</v>
      </c>
      <c r="D45" s="124">
        <v>9107.56</v>
      </c>
    </row>
    <row r="46" spans="2:9" ht="15.75" x14ac:dyDescent="0.25">
      <c r="B46" s="176">
        <v>21</v>
      </c>
      <c r="C46" s="134" t="s">
        <v>249</v>
      </c>
      <c r="D46" s="124">
        <v>117222.48</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5" zoomScale="80" zoomScaleNormal="80" zoomScaleSheetLayoutView="40" zoomScalePageLayoutView="70" workbookViewId="0">
      <selection activeCell="F25" sqref="F25"/>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Tulare</v>
      </c>
      <c r="F9" s="190" t="s">
        <v>1</v>
      </c>
      <c r="G9" s="191" t="str">
        <f>IF(ISBLANK('1. Information'!D9),"",'1. Information'!D9)</f>
        <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12594.82</v>
      </c>
      <c r="G15" s="109"/>
      <c r="H15" s="109"/>
      <c r="I15" s="109"/>
      <c r="J15" s="109"/>
      <c r="K15" s="204">
        <f>SUM(F15:J15)</f>
        <v>12594.82</v>
      </c>
      <c r="L15"/>
    </row>
    <row r="16" spans="1:12" ht="15" customHeight="1" x14ac:dyDescent="0.25">
      <c r="B16" s="183">
        <v>2</v>
      </c>
      <c r="C16" s="135" t="s">
        <v>7</v>
      </c>
      <c r="D16" s="205"/>
      <c r="E16" s="206"/>
      <c r="F16" s="109">
        <v>85530.39</v>
      </c>
      <c r="G16" s="109"/>
      <c r="H16" s="109"/>
      <c r="I16" s="109"/>
      <c r="J16" s="109"/>
      <c r="K16" s="204">
        <f t="shared" ref="K16:K17" si="0">SUM(F16:J16)</f>
        <v>85530.39</v>
      </c>
      <c r="L16"/>
    </row>
    <row r="17" spans="2:12" ht="15.75" customHeight="1" x14ac:dyDescent="0.25">
      <c r="B17" s="183">
        <v>3</v>
      </c>
      <c r="C17" s="135" t="s">
        <v>117</v>
      </c>
      <c r="D17" s="205"/>
      <c r="E17" s="206"/>
      <c r="F17" s="109">
        <v>2960773.14</v>
      </c>
      <c r="G17" s="109"/>
      <c r="H17" s="109"/>
      <c r="I17" s="109"/>
      <c r="J17" s="109"/>
      <c r="K17" s="204">
        <f t="shared" si="0"/>
        <v>2960773.14</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v>500000</v>
      </c>
      <c r="G22" s="209"/>
      <c r="H22" s="209"/>
      <c r="I22" s="209"/>
      <c r="J22" s="209"/>
      <c r="K22" s="204">
        <f t="shared" si="1"/>
        <v>500000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v>49147.98</v>
      </c>
      <c r="G24" s="209"/>
      <c r="H24" s="209"/>
      <c r="I24" s="209"/>
      <c r="J24" s="209"/>
      <c r="K24" s="204">
        <f t="shared" si="1"/>
        <v>49147.98</v>
      </c>
      <c r="L24"/>
    </row>
    <row r="25" spans="2:12" ht="15.75" customHeight="1" x14ac:dyDescent="0.25">
      <c r="B25" s="183">
        <v>11</v>
      </c>
      <c r="C25" s="135" t="s">
        <v>123</v>
      </c>
      <c r="D25" s="205"/>
      <c r="E25" s="206"/>
      <c r="F25" s="207">
        <f>SUM(G34:G133)</f>
        <v>16525001.800000001</v>
      </c>
      <c r="G25" s="209">
        <f>SUM(H34:H133)</f>
        <v>4447211.24</v>
      </c>
      <c r="H25" s="209">
        <f>SUM(I34:I133)</f>
        <v>0</v>
      </c>
      <c r="I25" s="209">
        <f>SUM(J34:J133)</f>
        <v>0</v>
      </c>
      <c r="J25" s="209">
        <f>SUM(K34:K133)</f>
        <v>414202.22</v>
      </c>
      <c r="K25" s="209">
        <f>SUM(F25:J25)</f>
        <v>21386415.259999998</v>
      </c>
      <c r="L25"/>
    </row>
    <row r="26" spans="2:12" ht="30.95" customHeight="1" x14ac:dyDescent="0.25">
      <c r="B26" s="183">
        <v>12</v>
      </c>
      <c r="C26" s="210" t="s">
        <v>190</v>
      </c>
      <c r="D26" s="211"/>
      <c r="E26" s="212"/>
      <c r="F26" s="213">
        <f t="shared" ref="F26" si="2">SUM(F15:F17,F19:F25)</f>
        <v>20133048.130000003</v>
      </c>
      <c r="G26" s="213">
        <f>SUM(G15:G17,G25)</f>
        <v>4447211.24</v>
      </c>
      <c r="H26" s="214">
        <f>SUM(H15:H17,H25)</f>
        <v>0</v>
      </c>
      <c r="I26" s="213">
        <f>SUM(I15:I17,I25)</f>
        <v>0</v>
      </c>
      <c r="J26" s="213">
        <f>SUM(J15:J17,J25)</f>
        <v>414202.22</v>
      </c>
      <c r="K26" s="213">
        <f>SUM(F26:J26)</f>
        <v>24994461.590000004</v>
      </c>
      <c r="L26"/>
    </row>
    <row r="27" spans="2:12" ht="30.95" customHeight="1" x14ac:dyDescent="0.25">
      <c r="B27" s="183">
        <v>13</v>
      </c>
      <c r="C27" s="215" t="s">
        <v>675</v>
      </c>
      <c r="D27" s="215"/>
      <c r="E27" s="215"/>
      <c r="F27" s="213">
        <f>SUM(F15:F17,F19,F20,F25)</f>
        <v>19583900.150000002</v>
      </c>
      <c r="G27" s="213">
        <f>SUM(G15:G17,G25)</f>
        <v>4447211.24</v>
      </c>
      <c r="H27" s="213">
        <f t="shared" ref="H27:J27" si="3">SUM(H15:H17,H25)</f>
        <v>0</v>
      </c>
      <c r="I27" s="213">
        <f t="shared" si="3"/>
        <v>0</v>
      </c>
      <c r="J27" s="213">
        <f t="shared" si="3"/>
        <v>414202.22</v>
      </c>
      <c r="K27" s="213">
        <f>SUM(F27:J27)</f>
        <v>24445313.609999999</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54</v>
      </c>
      <c r="D34" s="113" t="s">
        <v>789</v>
      </c>
      <c r="E34" s="113"/>
      <c r="F34" s="107" t="s">
        <v>95</v>
      </c>
      <c r="G34" s="106">
        <v>305710.24</v>
      </c>
      <c r="H34" s="106">
        <v>314531.09000000003</v>
      </c>
      <c r="I34" s="106"/>
      <c r="J34" s="109"/>
      <c r="K34" s="106"/>
      <c r="L34" s="209">
        <f>SUM(G34:K34)</f>
        <v>620241.33000000007</v>
      </c>
    </row>
    <row r="35" spans="2:12" x14ac:dyDescent="0.25">
      <c r="B35" s="224">
        <v>15</v>
      </c>
      <c r="C35" s="225">
        <f t="shared" si="4"/>
        <v>54</v>
      </c>
      <c r="D35" s="113" t="s">
        <v>789</v>
      </c>
      <c r="E35" s="113"/>
      <c r="F35" s="107" t="s">
        <v>96</v>
      </c>
      <c r="G35" s="106">
        <v>729104.91</v>
      </c>
      <c r="H35" s="106">
        <v>750142.22</v>
      </c>
      <c r="I35" s="106"/>
      <c r="J35" s="109"/>
      <c r="K35" s="106"/>
      <c r="L35" s="209">
        <f t="shared" ref="L35:L98" si="5">SUM(G35:K35)</f>
        <v>1479247.13</v>
      </c>
    </row>
    <row r="36" spans="2:12" x14ac:dyDescent="0.25">
      <c r="B36" s="224">
        <v>16</v>
      </c>
      <c r="C36" s="225">
        <f t="shared" si="4"/>
        <v>54</v>
      </c>
      <c r="D36" s="113" t="s">
        <v>790</v>
      </c>
      <c r="E36" s="113"/>
      <c r="F36" s="107" t="s">
        <v>95</v>
      </c>
      <c r="G36" s="106">
        <v>67734.84</v>
      </c>
      <c r="H36" s="106">
        <v>158135.29999999999</v>
      </c>
      <c r="I36" s="106"/>
      <c r="J36" s="109"/>
      <c r="K36" s="106"/>
      <c r="L36" s="209">
        <f t="shared" si="5"/>
        <v>225870.13999999998</v>
      </c>
    </row>
    <row r="37" spans="2:12" x14ac:dyDescent="0.25">
      <c r="B37" s="224">
        <v>17</v>
      </c>
      <c r="C37" s="225">
        <f t="shared" si="4"/>
        <v>54</v>
      </c>
      <c r="D37" s="113" t="s">
        <v>790</v>
      </c>
      <c r="E37" s="113"/>
      <c r="F37" s="107" t="s">
        <v>96</v>
      </c>
      <c r="G37" s="106">
        <v>330367.09999999998</v>
      </c>
      <c r="H37" s="106">
        <v>771282.45</v>
      </c>
      <c r="I37" s="106"/>
      <c r="J37" s="109"/>
      <c r="K37" s="106"/>
      <c r="L37" s="209">
        <f t="shared" si="5"/>
        <v>1101649.5499999998</v>
      </c>
    </row>
    <row r="38" spans="2:12" x14ac:dyDescent="0.25">
      <c r="B38" s="224">
        <v>18</v>
      </c>
      <c r="C38" s="225">
        <f t="shared" si="4"/>
        <v>54</v>
      </c>
      <c r="D38" s="113" t="s">
        <v>791</v>
      </c>
      <c r="E38" s="113"/>
      <c r="F38" s="107" t="s">
        <v>95</v>
      </c>
      <c r="G38" s="106">
        <v>3464096.22</v>
      </c>
      <c r="H38" s="106">
        <v>1854511.22</v>
      </c>
      <c r="I38" s="106"/>
      <c r="J38" s="109"/>
      <c r="K38" s="106">
        <v>8848.3700000000008</v>
      </c>
      <c r="L38" s="209">
        <f t="shared" si="5"/>
        <v>5327455.8100000005</v>
      </c>
    </row>
    <row r="39" spans="2:12" x14ac:dyDescent="0.25">
      <c r="B39" s="224">
        <v>19</v>
      </c>
      <c r="C39" s="225">
        <f t="shared" si="4"/>
        <v>54</v>
      </c>
      <c r="D39" s="113" t="s">
        <v>792</v>
      </c>
      <c r="E39" s="113"/>
      <c r="F39" s="107" t="s">
        <v>95</v>
      </c>
      <c r="G39" s="106">
        <v>5247922.43</v>
      </c>
      <c r="H39" s="106"/>
      <c r="I39" s="106"/>
      <c r="J39" s="109"/>
      <c r="K39" s="106">
        <v>274553.84999999998</v>
      </c>
      <c r="L39" s="209">
        <f t="shared" si="5"/>
        <v>5522476.2799999993</v>
      </c>
    </row>
    <row r="40" spans="2:12" x14ac:dyDescent="0.25">
      <c r="B40" s="224">
        <v>20</v>
      </c>
      <c r="C40" s="225">
        <f t="shared" si="4"/>
        <v>54</v>
      </c>
      <c r="D40" s="113" t="s">
        <v>793</v>
      </c>
      <c r="E40" s="113"/>
      <c r="F40" s="107" t="s">
        <v>95</v>
      </c>
      <c r="G40" s="106">
        <v>522783.24</v>
      </c>
      <c r="H40" s="106"/>
      <c r="I40" s="106"/>
      <c r="J40" s="109"/>
      <c r="K40" s="106">
        <v>130800</v>
      </c>
      <c r="L40" s="209">
        <f t="shared" si="5"/>
        <v>653583.24</v>
      </c>
    </row>
    <row r="41" spans="2:12" x14ac:dyDescent="0.25">
      <c r="B41" s="224">
        <v>21</v>
      </c>
      <c r="C41" s="225">
        <f t="shared" si="4"/>
        <v>54</v>
      </c>
      <c r="D41" s="113" t="s">
        <v>793</v>
      </c>
      <c r="E41" s="113"/>
      <c r="F41" s="107" t="s">
        <v>96</v>
      </c>
      <c r="G41" s="106">
        <v>3987542.84</v>
      </c>
      <c r="H41" s="106">
        <v>6211.88</v>
      </c>
      <c r="I41" s="106"/>
      <c r="J41" s="109"/>
      <c r="K41" s="106"/>
      <c r="L41" s="209">
        <f t="shared" si="5"/>
        <v>3993754.7199999997</v>
      </c>
    </row>
    <row r="42" spans="2:12" x14ac:dyDescent="0.25">
      <c r="B42" s="224">
        <v>22</v>
      </c>
      <c r="C42" s="225">
        <f t="shared" si="4"/>
        <v>54</v>
      </c>
      <c r="D42" s="113" t="s">
        <v>794</v>
      </c>
      <c r="E42" s="113"/>
      <c r="F42" s="107" t="s">
        <v>96</v>
      </c>
      <c r="G42" s="106">
        <v>1869739.98</v>
      </c>
      <c r="H42" s="106">
        <v>592397.07999999996</v>
      </c>
      <c r="I42" s="106"/>
      <c r="J42" s="109"/>
      <c r="K42" s="106"/>
      <c r="L42" s="209">
        <f t="shared" si="5"/>
        <v>2462137.06</v>
      </c>
    </row>
    <row r="43" spans="2:12" x14ac:dyDescent="0.25">
      <c r="B43" s="224">
        <v>23</v>
      </c>
      <c r="C43" s="225" t="str">
        <f t="shared" si="4"/>
        <v/>
      </c>
      <c r="D43" s="113"/>
      <c r="E43" s="113"/>
      <c r="F43" s="107"/>
      <c r="G43" s="106"/>
      <c r="H43" s="106"/>
      <c r="I43" s="106"/>
      <c r="J43" s="109"/>
      <c r="K43" s="106"/>
      <c r="L43" s="209">
        <f t="shared" si="5"/>
        <v>0</v>
      </c>
    </row>
    <row r="44" spans="2:12" x14ac:dyDescent="0.25">
      <c r="B44" s="224">
        <v>24</v>
      </c>
      <c r="C44" s="225" t="str">
        <f t="shared" si="4"/>
        <v/>
      </c>
      <c r="D44" s="113"/>
      <c r="E44" s="113"/>
      <c r="F44" s="107"/>
      <c r="G44" s="106"/>
      <c r="H44" s="106"/>
      <c r="I44" s="106"/>
      <c r="J44" s="109"/>
      <c r="K44" s="106"/>
      <c r="L44" s="209">
        <f t="shared" si="5"/>
        <v>0</v>
      </c>
    </row>
    <row r="45" spans="2:12" x14ac:dyDescent="0.25">
      <c r="B45" s="224">
        <v>25</v>
      </c>
      <c r="C45" s="225" t="str">
        <f t="shared" si="4"/>
        <v/>
      </c>
      <c r="D45" s="113"/>
      <c r="E45" s="113"/>
      <c r="F45" s="107"/>
      <c r="G45" s="106"/>
      <c r="H45" s="106"/>
      <c r="I45" s="106"/>
      <c r="J45" s="109"/>
      <c r="K45" s="106"/>
      <c r="L45" s="209">
        <f t="shared" si="5"/>
        <v>0</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049" yWindow="386"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B2" zoomScale="80" zoomScaleNormal="80" zoomScaleSheetLayoutView="40" zoomScalePageLayoutView="80" workbookViewId="0">
      <selection activeCell="B32" sqref="B3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Tulare</v>
      </c>
      <c r="E9" s="20" t="str">
        <f>IF(ISBLANK('1. Information'!D11),"",'1. Information'!D11)</f>
        <v>Tulare</v>
      </c>
      <c r="F9" s="190" t="s">
        <v>1</v>
      </c>
      <c r="G9" s="226" t="str">
        <f>IF(ISBLANK('1. Information'!D9),"",'1. Information'!D9)</f>
        <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12594.83</v>
      </c>
      <c r="G15" s="109"/>
      <c r="H15" s="109"/>
      <c r="I15" s="109"/>
      <c r="J15" s="109"/>
      <c r="K15" s="204">
        <f>SUM(F15:J15)</f>
        <v>12594.83</v>
      </c>
      <c r="L15"/>
      <c r="M15"/>
      <c r="N15"/>
      <c r="O15"/>
      <c r="P15"/>
      <c r="Q15"/>
      <c r="AL15" s="20"/>
      <c r="AM15" s="20"/>
      <c r="AN15" s="20"/>
    </row>
    <row r="16" spans="1:40" ht="15" customHeight="1" x14ac:dyDescent="0.25">
      <c r="B16" s="183">
        <v>2</v>
      </c>
      <c r="C16" s="135" t="s">
        <v>119</v>
      </c>
      <c r="D16" s="205"/>
      <c r="E16" s="208"/>
      <c r="F16" s="109">
        <v>41781.800000000003</v>
      </c>
      <c r="G16" s="109"/>
      <c r="H16" s="109"/>
      <c r="I16" s="109"/>
      <c r="J16" s="109"/>
      <c r="K16" s="204">
        <f t="shared" ref="K16:K22" si="0">SUM(F16:J16)</f>
        <v>41781.800000000003</v>
      </c>
      <c r="L16"/>
      <c r="M16"/>
      <c r="N16"/>
      <c r="O16"/>
      <c r="P16"/>
      <c r="Q16"/>
      <c r="AL16" s="20"/>
      <c r="AM16" s="20"/>
      <c r="AN16" s="20"/>
    </row>
    <row r="17" spans="2:40" ht="15" customHeight="1" x14ac:dyDescent="0.25">
      <c r="B17" s="183">
        <v>3</v>
      </c>
      <c r="C17" s="135" t="s">
        <v>131</v>
      </c>
      <c r="D17" s="205"/>
      <c r="E17" s="208"/>
      <c r="F17" s="109">
        <v>184058.59</v>
      </c>
      <c r="G17" s="109"/>
      <c r="H17" s="109"/>
      <c r="I17" s="109"/>
      <c r="J17" s="109"/>
      <c r="K17" s="204">
        <f t="shared" si="0"/>
        <v>184058.59</v>
      </c>
      <c r="L17"/>
      <c r="M17"/>
      <c r="N17"/>
      <c r="O17"/>
      <c r="P17"/>
      <c r="Q17"/>
      <c r="AL17" s="20"/>
      <c r="AM17" s="20"/>
      <c r="AN17" s="20"/>
    </row>
    <row r="18" spans="2:40" ht="15" customHeight="1" x14ac:dyDescent="0.2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25">
      <c r="B19" s="183">
        <v>5</v>
      </c>
      <c r="C19" s="135" t="s">
        <v>185</v>
      </c>
      <c r="D19" s="205"/>
      <c r="E19" s="208"/>
      <c r="F19" s="109">
        <v>171942.18</v>
      </c>
      <c r="G19" s="207"/>
      <c r="H19" s="207"/>
      <c r="I19" s="207"/>
      <c r="J19" s="207"/>
      <c r="K19" s="204">
        <f t="shared" ref="K19:K20" si="1">F19</f>
        <v>171942.18</v>
      </c>
      <c r="L19"/>
      <c r="M19"/>
      <c r="N19"/>
      <c r="O19"/>
      <c r="P19"/>
      <c r="Q19"/>
      <c r="AL19" s="20"/>
      <c r="AM19" s="20"/>
      <c r="AN19" s="20"/>
    </row>
    <row r="20" spans="2:40" ht="15" customHeight="1" x14ac:dyDescent="0.25">
      <c r="B20" s="183">
        <v>6</v>
      </c>
      <c r="C20" s="135" t="s">
        <v>289</v>
      </c>
      <c r="D20" s="205"/>
      <c r="E20" s="208"/>
      <c r="F20" s="109">
        <v>46283.15</v>
      </c>
      <c r="G20" s="207"/>
      <c r="H20" s="207"/>
      <c r="I20" s="207"/>
      <c r="J20" s="207"/>
      <c r="K20" s="204">
        <f t="shared" si="1"/>
        <v>46283.15</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3573940.3200000003</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3573940.3200000003</v>
      </c>
      <c r="L21"/>
      <c r="M21"/>
      <c r="N21"/>
      <c r="O21"/>
      <c r="P21"/>
      <c r="Q21"/>
      <c r="AL21" s="20"/>
      <c r="AM21" s="20"/>
      <c r="AN21" s="20"/>
    </row>
    <row r="22" spans="2:40" ht="30.95" customHeight="1" x14ac:dyDescent="0.25">
      <c r="B22" s="236">
        <v>8</v>
      </c>
      <c r="C22" s="237" t="s">
        <v>304</v>
      </c>
      <c r="D22" s="177"/>
      <c r="E22" s="238"/>
      <c r="F22" s="239">
        <f>SUM(F15:F17,F20:F21)</f>
        <v>3858658.6900000004</v>
      </c>
      <c r="G22" s="239">
        <f t="shared" ref="G22:J22" si="2">SUM(G15:G17,G20:G21)</f>
        <v>0</v>
      </c>
      <c r="H22" s="239">
        <f t="shared" si="2"/>
        <v>0</v>
      </c>
      <c r="I22" s="239">
        <f t="shared" si="2"/>
        <v>0</v>
      </c>
      <c r="J22" s="239">
        <f t="shared" si="2"/>
        <v>0</v>
      </c>
      <c r="K22" s="239">
        <f t="shared" si="0"/>
        <v>3858658.6900000004</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0.53883198399700905</v>
      </c>
      <c r="F28" s="15">
        <v>0.65</v>
      </c>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54</v>
      </c>
      <c r="D34" s="113" t="s">
        <v>121</v>
      </c>
      <c r="E34" s="113"/>
      <c r="F34" s="123" t="s">
        <v>126</v>
      </c>
      <c r="G34" s="123" t="s">
        <v>121</v>
      </c>
      <c r="H34" s="123" t="s">
        <v>797</v>
      </c>
      <c r="I34" s="27">
        <v>0.39</v>
      </c>
      <c r="J34" s="27">
        <v>1</v>
      </c>
      <c r="K34" s="260" t="str">
        <f>IF(OR(G34="Combined Summary",F34="Standalone"),(SUMPRODUCT(--(D$34:D$133=D34),I$34:I$133,J$34:J$133)),"")</f>
        <v/>
      </c>
      <c r="L34" s="106">
        <v>298130.78000000003</v>
      </c>
      <c r="M34" s="112"/>
      <c r="N34" s="22"/>
      <c r="O34" s="22"/>
      <c r="P34" s="22"/>
      <c r="Q34" s="261">
        <f>SUM(L34:P34)</f>
        <v>298130.78000000003</v>
      </c>
      <c r="R34" s="146" t="str">
        <f>IF(OR(G34="Combined Summary",F34="Standalone"),(SUMIF(D$34:D$133,D34,I$34:I$133)),"")</f>
        <v/>
      </c>
      <c r="S34" s="147" t="str">
        <f>IF(AND(F34="Standalone",NOT(R34=1)),"ERROR",IF(AND(G34="Combined Summary",NOT(R34=1)),"ERROR",""))</f>
        <v/>
      </c>
      <c r="T34" s="145"/>
      <c r="AL34" s="20"/>
      <c r="AM34" s="20"/>
      <c r="AN34" s="20"/>
    </row>
    <row r="35" spans="2:40" x14ac:dyDescent="0.25">
      <c r="B35" s="236">
        <v>11</v>
      </c>
      <c r="C35" s="259">
        <f t="shared" si="3"/>
        <v>54</v>
      </c>
      <c r="D35" s="113" t="s">
        <v>121</v>
      </c>
      <c r="E35" s="113"/>
      <c r="F35" s="123" t="s">
        <v>126</v>
      </c>
      <c r="G35" s="123" t="s">
        <v>121</v>
      </c>
      <c r="H35" s="123" t="s">
        <v>798</v>
      </c>
      <c r="I35" s="27">
        <v>0.48</v>
      </c>
      <c r="J35" s="27">
        <v>1</v>
      </c>
      <c r="K35" s="260" t="str">
        <f t="shared" ref="K35:K98" si="4">IF(OR(G35="Combined Summary",F35="Standalone"),(SUMPRODUCT(--(D$34:D$133=D35),I$34:I$133,J$34:J$133)),"")</f>
        <v/>
      </c>
      <c r="L35" s="106">
        <v>374216</v>
      </c>
      <c r="M35" s="112"/>
      <c r="N35" s="22"/>
      <c r="O35" s="22"/>
      <c r="P35" s="22"/>
      <c r="Q35" s="261">
        <f t="shared" ref="Q35:Q98" si="5">SUM(L35:P35)</f>
        <v>374216</v>
      </c>
      <c r="R35" s="146" t="str">
        <f t="shared" ref="R35:R98" si="6">IF(OR(G35="Combined Summary",F35="Standalone"),(SUMIF(D$34:D$133,D35,I$34:I$133)),"")</f>
        <v/>
      </c>
      <c r="S35" s="148" t="str">
        <f t="shared" ref="S35:S98" si="7">IF(AND(F35="Standalone",NOT(R35=1)),"ERROR",IF(AND(G35="Combined Summary",NOT(R35=1)),"ERROR",""))</f>
        <v/>
      </c>
      <c r="T35" s="145"/>
      <c r="AL35" s="20"/>
      <c r="AM35" s="20"/>
      <c r="AN35" s="20"/>
    </row>
    <row r="36" spans="2:40" x14ac:dyDescent="0.25">
      <c r="B36" s="236">
        <v>12</v>
      </c>
      <c r="C36" s="259">
        <f t="shared" si="3"/>
        <v>54</v>
      </c>
      <c r="D36" s="113" t="s">
        <v>121</v>
      </c>
      <c r="E36" s="113"/>
      <c r="F36" s="123" t="s">
        <v>126</v>
      </c>
      <c r="G36" s="123" t="s">
        <v>121</v>
      </c>
      <c r="H36" s="123" t="s">
        <v>799</v>
      </c>
      <c r="I36" s="27">
        <v>0.13</v>
      </c>
      <c r="J36" s="27">
        <v>1</v>
      </c>
      <c r="K36" s="260" t="str">
        <f t="shared" si="4"/>
        <v/>
      </c>
      <c r="L36" s="106">
        <v>99550</v>
      </c>
      <c r="M36" s="112"/>
      <c r="N36" s="22"/>
      <c r="O36" s="22"/>
      <c r="P36" s="22"/>
      <c r="Q36" s="261">
        <f t="shared" si="5"/>
        <v>99550</v>
      </c>
      <c r="R36" s="146" t="str">
        <f t="shared" si="6"/>
        <v/>
      </c>
      <c r="S36" s="148" t="str">
        <f t="shared" si="7"/>
        <v/>
      </c>
      <c r="AL36" s="20"/>
      <c r="AM36" s="20"/>
      <c r="AN36" s="20"/>
    </row>
    <row r="37" spans="2:40" x14ac:dyDescent="0.25">
      <c r="B37" s="236">
        <v>13</v>
      </c>
      <c r="C37" s="259">
        <f t="shared" si="3"/>
        <v>54</v>
      </c>
      <c r="D37" s="113" t="s">
        <v>121</v>
      </c>
      <c r="E37" s="113"/>
      <c r="F37" s="123" t="s">
        <v>126</v>
      </c>
      <c r="G37" s="123" t="s">
        <v>194</v>
      </c>
      <c r="H37" s="24"/>
      <c r="I37" s="27"/>
      <c r="J37" s="27"/>
      <c r="K37" s="260">
        <f t="shared" si="4"/>
        <v>1</v>
      </c>
      <c r="L37" s="106">
        <v>771896.78</v>
      </c>
      <c r="M37" s="112"/>
      <c r="N37" s="22"/>
      <c r="O37" s="22"/>
      <c r="P37" s="22"/>
      <c r="Q37" s="261">
        <f t="shared" si="5"/>
        <v>771896.78</v>
      </c>
      <c r="R37" s="146">
        <f t="shared" si="6"/>
        <v>1</v>
      </c>
      <c r="S37" s="148" t="str">
        <f t="shared" si="7"/>
        <v/>
      </c>
      <c r="AL37" s="20"/>
      <c r="AM37" s="20"/>
      <c r="AN37" s="20"/>
    </row>
    <row r="38" spans="2:40" x14ac:dyDescent="0.25">
      <c r="B38" s="236">
        <v>14</v>
      </c>
      <c r="C38" s="259" t="str">
        <f t="shared" si="3"/>
        <v/>
      </c>
      <c r="D38" s="113"/>
      <c r="E38" s="113"/>
      <c r="F38" s="123"/>
      <c r="G38" s="123"/>
      <c r="H38" s="24"/>
      <c r="I38" s="27"/>
      <c r="J38" s="27"/>
      <c r="K38" s="260" t="str">
        <f t="shared" si="4"/>
        <v/>
      </c>
      <c r="L38" s="106"/>
      <c r="M38" s="112"/>
      <c r="N38" s="22"/>
      <c r="O38" s="22"/>
      <c r="P38" s="22"/>
      <c r="Q38" s="261">
        <f t="shared" si="5"/>
        <v>0</v>
      </c>
      <c r="R38" s="146" t="str">
        <f t="shared" si="6"/>
        <v/>
      </c>
      <c r="S38" s="148" t="str">
        <f t="shared" si="7"/>
        <v/>
      </c>
      <c r="AL38" s="20"/>
      <c r="AM38" s="20"/>
      <c r="AN38" s="20"/>
    </row>
    <row r="39" spans="2:40" x14ac:dyDescent="0.25">
      <c r="B39" s="236">
        <v>15</v>
      </c>
      <c r="C39" s="259">
        <f t="shared" si="3"/>
        <v>54</v>
      </c>
      <c r="D39" s="113" t="s">
        <v>122</v>
      </c>
      <c r="E39" s="113"/>
      <c r="F39" s="123" t="s">
        <v>126</v>
      </c>
      <c r="G39" s="123" t="s">
        <v>122</v>
      </c>
      <c r="H39" s="123" t="s">
        <v>800</v>
      </c>
      <c r="I39" s="27">
        <v>0.11</v>
      </c>
      <c r="J39" s="27">
        <v>1</v>
      </c>
      <c r="K39" s="260" t="str">
        <f t="shared" si="4"/>
        <v/>
      </c>
      <c r="L39" s="106">
        <v>136275.16</v>
      </c>
      <c r="M39" s="112"/>
      <c r="N39" s="22"/>
      <c r="O39" s="22"/>
      <c r="P39" s="22"/>
      <c r="Q39" s="261">
        <f t="shared" si="5"/>
        <v>136275.16</v>
      </c>
      <c r="R39" s="146" t="str">
        <f t="shared" si="6"/>
        <v/>
      </c>
      <c r="S39" s="148" t="str">
        <f t="shared" si="7"/>
        <v/>
      </c>
      <c r="AL39" s="20"/>
      <c r="AM39" s="20"/>
      <c r="AN39" s="20"/>
    </row>
    <row r="40" spans="2:40" x14ac:dyDescent="0.25">
      <c r="B40" s="236">
        <v>16</v>
      </c>
      <c r="C40" s="259">
        <f t="shared" si="3"/>
        <v>54</v>
      </c>
      <c r="D40" s="113" t="s">
        <v>122</v>
      </c>
      <c r="E40" s="113"/>
      <c r="F40" s="123" t="s">
        <v>126</v>
      </c>
      <c r="G40" s="123" t="s">
        <v>122</v>
      </c>
      <c r="H40" s="123" t="s">
        <v>801</v>
      </c>
      <c r="I40" s="27">
        <v>0.35</v>
      </c>
      <c r="J40" s="27">
        <v>1</v>
      </c>
      <c r="K40" s="260" t="str">
        <f t="shared" si="4"/>
        <v/>
      </c>
      <c r="L40" s="106">
        <v>451095</v>
      </c>
      <c r="M40" s="112"/>
      <c r="N40" s="22"/>
      <c r="O40" s="22"/>
      <c r="P40" s="22"/>
      <c r="Q40" s="261">
        <f t="shared" si="5"/>
        <v>451095</v>
      </c>
      <c r="R40" s="146" t="str">
        <f t="shared" si="6"/>
        <v/>
      </c>
      <c r="S40" s="148" t="str">
        <f t="shared" si="7"/>
        <v/>
      </c>
      <c r="AL40" s="20"/>
      <c r="AM40" s="20"/>
      <c r="AN40" s="20"/>
    </row>
    <row r="41" spans="2:40" x14ac:dyDescent="0.25">
      <c r="B41" s="236">
        <v>17</v>
      </c>
      <c r="C41" s="259">
        <f t="shared" si="3"/>
        <v>54</v>
      </c>
      <c r="D41" s="113" t="s">
        <v>122</v>
      </c>
      <c r="E41" s="113"/>
      <c r="F41" s="123" t="s">
        <v>126</v>
      </c>
      <c r="G41" s="123" t="s">
        <v>122</v>
      </c>
      <c r="H41" s="123" t="s">
        <v>814</v>
      </c>
      <c r="I41" s="27">
        <v>0.12</v>
      </c>
      <c r="J41" s="27">
        <v>1</v>
      </c>
      <c r="K41" s="260" t="str">
        <f t="shared" si="4"/>
        <v/>
      </c>
      <c r="L41" s="106">
        <v>153358.82999999999</v>
      </c>
      <c r="M41" s="112"/>
      <c r="N41" s="22"/>
      <c r="O41" s="22"/>
      <c r="P41" s="22"/>
      <c r="Q41" s="261">
        <f t="shared" si="5"/>
        <v>153358.82999999999</v>
      </c>
      <c r="R41" s="146" t="str">
        <f t="shared" si="6"/>
        <v/>
      </c>
      <c r="S41" s="148" t="str">
        <f t="shared" si="7"/>
        <v/>
      </c>
      <c r="AL41" s="20"/>
      <c r="AM41" s="20"/>
      <c r="AN41" s="20"/>
    </row>
    <row r="42" spans="2:40" x14ac:dyDescent="0.25">
      <c r="B42" s="236">
        <v>18</v>
      </c>
      <c r="C42" s="259">
        <f t="shared" si="3"/>
        <v>54</v>
      </c>
      <c r="D42" s="113" t="s">
        <v>122</v>
      </c>
      <c r="E42" s="113"/>
      <c r="F42" s="123" t="s">
        <v>126</v>
      </c>
      <c r="G42" s="123" t="s">
        <v>122</v>
      </c>
      <c r="H42" s="123" t="s">
        <v>802</v>
      </c>
      <c r="I42" s="27">
        <v>0.2</v>
      </c>
      <c r="J42" s="27">
        <v>1</v>
      </c>
      <c r="K42" s="260" t="str">
        <f t="shared" si="4"/>
        <v/>
      </c>
      <c r="L42" s="106">
        <v>254808.15</v>
      </c>
      <c r="M42" s="112"/>
      <c r="N42" s="22"/>
      <c r="O42" s="22"/>
      <c r="P42" s="22"/>
      <c r="Q42" s="261">
        <f t="shared" si="5"/>
        <v>254808.15</v>
      </c>
      <c r="R42" s="146" t="str">
        <f t="shared" si="6"/>
        <v/>
      </c>
      <c r="S42" s="148" t="str">
        <f t="shared" si="7"/>
        <v/>
      </c>
      <c r="AL42" s="20"/>
      <c r="AM42" s="20"/>
      <c r="AN42" s="20"/>
    </row>
    <row r="43" spans="2:40" x14ac:dyDescent="0.25">
      <c r="B43" s="236">
        <v>19</v>
      </c>
      <c r="C43" s="259">
        <f t="shared" si="3"/>
        <v>54</v>
      </c>
      <c r="D43" s="113" t="s">
        <v>122</v>
      </c>
      <c r="E43" s="113"/>
      <c r="F43" s="123" t="s">
        <v>126</v>
      </c>
      <c r="G43" s="123" t="s">
        <v>122</v>
      </c>
      <c r="H43" s="123" t="s">
        <v>803</v>
      </c>
      <c r="I43" s="27">
        <v>0.15</v>
      </c>
      <c r="J43" s="27">
        <v>1</v>
      </c>
      <c r="K43" s="260" t="str">
        <f t="shared" si="4"/>
        <v/>
      </c>
      <c r="L43" s="106">
        <v>191274.11</v>
      </c>
      <c r="M43" s="112"/>
      <c r="N43" s="22"/>
      <c r="O43" s="22"/>
      <c r="P43" s="22"/>
      <c r="Q43" s="261">
        <f t="shared" si="5"/>
        <v>191274.11</v>
      </c>
      <c r="R43" s="146" t="str">
        <f t="shared" si="6"/>
        <v/>
      </c>
      <c r="S43" s="148" t="str">
        <f t="shared" si="7"/>
        <v/>
      </c>
      <c r="AL43" s="20"/>
      <c r="AM43" s="20"/>
      <c r="AN43" s="20"/>
    </row>
    <row r="44" spans="2:40" x14ac:dyDescent="0.25">
      <c r="B44" s="236">
        <v>20</v>
      </c>
      <c r="C44" s="259">
        <f t="shared" si="3"/>
        <v>54</v>
      </c>
      <c r="D44" s="113" t="s">
        <v>122</v>
      </c>
      <c r="E44" s="113"/>
      <c r="F44" s="123" t="s">
        <v>126</v>
      </c>
      <c r="G44" s="123" t="s">
        <v>122</v>
      </c>
      <c r="H44" s="123" t="s">
        <v>804</v>
      </c>
      <c r="I44" s="27">
        <v>7.0000000000000007E-2</v>
      </c>
      <c r="J44" s="27">
        <v>1</v>
      </c>
      <c r="K44" s="260" t="str">
        <f t="shared" si="4"/>
        <v/>
      </c>
      <c r="L44" s="106">
        <v>90376.639999999999</v>
      </c>
      <c r="M44" s="112"/>
      <c r="N44" s="22"/>
      <c r="O44" s="22"/>
      <c r="P44" s="22"/>
      <c r="Q44" s="261">
        <f t="shared" si="5"/>
        <v>90376.639999999999</v>
      </c>
      <c r="R44" s="146" t="str">
        <f t="shared" si="6"/>
        <v/>
      </c>
      <c r="S44" s="148" t="str">
        <f t="shared" si="7"/>
        <v/>
      </c>
      <c r="AL44" s="20"/>
      <c r="AM44" s="20"/>
      <c r="AN44" s="20"/>
    </row>
    <row r="45" spans="2:40" x14ac:dyDescent="0.25">
      <c r="B45" s="236">
        <v>21</v>
      </c>
      <c r="C45" s="259">
        <f t="shared" si="3"/>
        <v>54</v>
      </c>
      <c r="D45" s="113" t="s">
        <v>122</v>
      </c>
      <c r="E45" s="113"/>
      <c r="F45" s="123" t="s">
        <v>126</v>
      </c>
      <c r="G45" s="123" t="s">
        <v>194</v>
      </c>
      <c r="H45" s="24"/>
      <c r="I45" s="27"/>
      <c r="J45" s="27"/>
      <c r="K45" s="260">
        <f t="shared" si="4"/>
        <v>1</v>
      </c>
      <c r="L45" s="106">
        <v>1277187.8899999999</v>
      </c>
      <c r="M45" s="112"/>
      <c r="N45" s="22"/>
      <c r="O45" s="22"/>
      <c r="P45" s="22"/>
      <c r="Q45" s="261">
        <f t="shared" si="5"/>
        <v>1277187.8899999999</v>
      </c>
      <c r="R45" s="146">
        <f t="shared" si="6"/>
        <v>1</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ht="30.75" x14ac:dyDescent="0.25">
      <c r="B47" s="236">
        <v>23</v>
      </c>
      <c r="C47" s="259">
        <f t="shared" si="3"/>
        <v>54</v>
      </c>
      <c r="D47" s="113" t="s">
        <v>795</v>
      </c>
      <c r="E47" s="113"/>
      <c r="F47" s="123" t="s">
        <v>125</v>
      </c>
      <c r="G47" s="123" t="s">
        <v>127</v>
      </c>
      <c r="H47" s="123" t="s">
        <v>815</v>
      </c>
      <c r="I47" s="27">
        <v>1</v>
      </c>
      <c r="J47" s="27">
        <v>0</v>
      </c>
      <c r="K47" s="260">
        <f t="shared" si="4"/>
        <v>0</v>
      </c>
      <c r="L47" s="106">
        <v>60110.55</v>
      </c>
      <c r="M47" s="112"/>
      <c r="N47" s="22"/>
      <c r="O47" s="22"/>
      <c r="P47" s="22"/>
      <c r="Q47" s="261">
        <f t="shared" si="5"/>
        <v>60110.55</v>
      </c>
      <c r="R47" s="146">
        <f t="shared" si="6"/>
        <v>4</v>
      </c>
      <c r="S47" s="148" t="str">
        <f t="shared" si="7"/>
        <v>ERROR</v>
      </c>
      <c r="AL47" s="20"/>
      <c r="AM47" s="20"/>
      <c r="AN47" s="20"/>
    </row>
    <row r="48" spans="2:40" ht="30.75" x14ac:dyDescent="0.25">
      <c r="B48" s="236">
        <v>24</v>
      </c>
      <c r="C48" s="259">
        <f t="shared" si="3"/>
        <v>54</v>
      </c>
      <c r="D48" s="113" t="s">
        <v>795</v>
      </c>
      <c r="E48" s="113"/>
      <c r="F48" s="123" t="s">
        <v>125</v>
      </c>
      <c r="G48" s="123" t="s">
        <v>127</v>
      </c>
      <c r="H48" s="123" t="s">
        <v>805</v>
      </c>
      <c r="I48" s="27">
        <v>1</v>
      </c>
      <c r="J48" s="27">
        <v>0</v>
      </c>
      <c r="K48" s="260">
        <f t="shared" si="4"/>
        <v>0</v>
      </c>
      <c r="L48" s="106">
        <v>30127.279999999999</v>
      </c>
      <c r="M48" s="112"/>
      <c r="N48" s="22"/>
      <c r="O48" s="22"/>
      <c r="P48" s="22"/>
      <c r="Q48" s="261">
        <f t="shared" si="5"/>
        <v>30127.279999999999</v>
      </c>
      <c r="R48" s="146">
        <f t="shared" si="6"/>
        <v>4</v>
      </c>
      <c r="S48" s="148" t="str">
        <f t="shared" si="7"/>
        <v>ERROR</v>
      </c>
      <c r="AL48" s="20"/>
      <c r="AM48" s="20"/>
      <c r="AN48" s="20"/>
    </row>
    <row r="49" spans="2:40" ht="30.75" x14ac:dyDescent="0.25">
      <c r="B49" s="236">
        <v>25</v>
      </c>
      <c r="C49" s="259">
        <f t="shared" si="3"/>
        <v>54</v>
      </c>
      <c r="D49" s="113" t="s">
        <v>795</v>
      </c>
      <c r="E49" s="113"/>
      <c r="F49" s="123" t="s">
        <v>125</v>
      </c>
      <c r="G49" s="123" t="s">
        <v>127</v>
      </c>
      <c r="H49" s="123" t="s">
        <v>806</v>
      </c>
      <c r="I49" s="27">
        <v>1</v>
      </c>
      <c r="J49" s="27">
        <v>0</v>
      </c>
      <c r="K49" s="260">
        <f t="shared" si="4"/>
        <v>0</v>
      </c>
      <c r="L49" s="106">
        <v>15845.5</v>
      </c>
      <c r="M49" s="112"/>
      <c r="N49" s="22"/>
      <c r="O49" s="22"/>
      <c r="P49" s="22"/>
      <c r="Q49" s="261">
        <f t="shared" si="5"/>
        <v>15845.5</v>
      </c>
      <c r="R49" s="146">
        <f t="shared" si="6"/>
        <v>4</v>
      </c>
      <c r="S49" s="148" t="str">
        <f t="shared" si="7"/>
        <v>ERROR</v>
      </c>
      <c r="AL49" s="20"/>
      <c r="AM49" s="20"/>
      <c r="AN49" s="20"/>
    </row>
    <row r="50" spans="2:40" ht="30.75" x14ac:dyDescent="0.25">
      <c r="B50" s="236">
        <v>26</v>
      </c>
      <c r="C50" s="259">
        <f t="shared" si="3"/>
        <v>54</v>
      </c>
      <c r="D50" s="113" t="s">
        <v>795</v>
      </c>
      <c r="E50" s="113"/>
      <c r="F50" s="123" t="s">
        <v>125</v>
      </c>
      <c r="G50" s="123" t="s">
        <v>127</v>
      </c>
      <c r="H50" s="123" t="s">
        <v>816</v>
      </c>
      <c r="I50" s="27">
        <v>1</v>
      </c>
      <c r="J50" s="27">
        <v>0</v>
      </c>
      <c r="K50" s="260">
        <f t="shared" si="4"/>
        <v>0</v>
      </c>
      <c r="L50" s="106">
        <v>148901.31</v>
      </c>
      <c r="M50" s="112"/>
      <c r="N50" s="22"/>
      <c r="O50" s="22"/>
      <c r="P50" s="22"/>
      <c r="Q50" s="261">
        <f t="shared" si="5"/>
        <v>148901.31</v>
      </c>
      <c r="R50" s="146">
        <f t="shared" si="6"/>
        <v>4</v>
      </c>
      <c r="S50" s="148" t="str">
        <f t="shared" si="7"/>
        <v>ERROR</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f t="shared" si="3"/>
        <v>54</v>
      </c>
      <c r="D53" s="113" t="s">
        <v>129</v>
      </c>
      <c r="E53" s="113"/>
      <c r="F53" s="123" t="s">
        <v>125</v>
      </c>
      <c r="G53" s="123" t="s">
        <v>129</v>
      </c>
      <c r="H53" s="123" t="s">
        <v>807</v>
      </c>
      <c r="I53" s="27">
        <v>1</v>
      </c>
      <c r="J53" s="27">
        <v>0</v>
      </c>
      <c r="K53" s="260">
        <f t="shared" si="4"/>
        <v>0</v>
      </c>
      <c r="L53" s="106">
        <v>28500</v>
      </c>
      <c r="M53" s="112"/>
      <c r="N53" s="22"/>
      <c r="O53" s="22"/>
      <c r="P53" s="22"/>
      <c r="Q53" s="261">
        <f t="shared" si="5"/>
        <v>28500</v>
      </c>
      <c r="R53" s="146">
        <f t="shared" si="6"/>
        <v>4</v>
      </c>
      <c r="S53" s="148" t="str">
        <f t="shared" si="7"/>
        <v>ERROR</v>
      </c>
      <c r="AL53" s="20"/>
      <c r="AM53" s="20"/>
      <c r="AN53" s="20"/>
    </row>
    <row r="54" spans="2:40" x14ac:dyDescent="0.25">
      <c r="B54" s="236">
        <v>30</v>
      </c>
      <c r="C54" s="259">
        <f t="shared" si="3"/>
        <v>54</v>
      </c>
      <c r="D54" s="113" t="s">
        <v>129</v>
      </c>
      <c r="E54" s="113"/>
      <c r="F54" s="123" t="s">
        <v>125</v>
      </c>
      <c r="G54" s="123" t="s">
        <v>129</v>
      </c>
      <c r="H54" s="123" t="s">
        <v>808</v>
      </c>
      <c r="I54" s="27">
        <v>1</v>
      </c>
      <c r="J54" s="27">
        <v>0</v>
      </c>
      <c r="K54" s="260">
        <f t="shared" si="4"/>
        <v>0</v>
      </c>
      <c r="L54" s="106">
        <v>30000</v>
      </c>
      <c r="M54" s="112"/>
      <c r="N54" s="22"/>
      <c r="O54" s="22"/>
      <c r="P54" s="22"/>
      <c r="Q54" s="261">
        <f t="shared" si="5"/>
        <v>30000</v>
      </c>
      <c r="R54" s="146">
        <f t="shared" si="6"/>
        <v>4</v>
      </c>
      <c r="S54" s="148" t="str">
        <f t="shared" si="7"/>
        <v>ERROR</v>
      </c>
      <c r="AL54" s="20"/>
      <c r="AM54" s="20"/>
      <c r="AN54" s="20"/>
    </row>
    <row r="55" spans="2:40" x14ac:dyDescent="0.25">
      <c r="B55" s="236">
        <v>31</v>
      </c>
      <c r="C55" s="259">
        <f t="shared" si="3"/>
        <v>54</v>
      </c>
      <c r="D55" s="113" t="s">
        <v>129</v>
      </c>
      <c r="E55" s="113"/>
      <c r="F55" s="123" t="s">
        <v>125</v>
      </c>
      <c r="G55" s="123" t="s">
        <v>129</v>
      </c>
      <c r="H55" s="123" t="s">
        <v>817</v>
      </c>
      <c r="I55" s="27">
        <v>1</v>
      </c>
      <c r="J55" s="27">
        <v>0</v>
      </c>
      <c r="K55" s="260">
        <f t="shared" si="4"/>
        <v>0</v>
      </c>
      <c r="L55" s="106">
        <v>303321.96000000002</v>
      </c>
      <c r="M55" s="112"/>
      <c r="N55" s="22"/>
      <c r="O55" s="22"/>
      <c r="P55" s="22"/>
      <c r="Q55" s="261">
        <f t="shared" si="5"/>
        <v>303321.96000000002</v>
      </c>
      <c r="R55" s="146">
        <f t="shared" si="6"/>
        <v>4</v>
      </c>
      <c r="S55" s="148" t="str">
        <f t="shared" si="7"/>
        <v>ERROR</v>
      </c>
      <c r="AL55" s="20"/>
      <c r="AM55" s="20"/>
      <c r="AN55" s="20"/>
    </row>
    <row r="56" spans="2:40" x14ac:dyDescent="0.25">
      <c r="B56" s="236">
        <v>32</v>
      </c>
      <c r="C56" s="259">
        <f t="shared" si="3"/>
        <v>54</v>
      </c>
      <c r="D56" s="113" t="s">
        <v>129</v>
      </c>
      <c r="E56" s="113"/>
      <c r="F56" s="123" t="s">
        <v>125</v>
      </c>
      <c r="G56" s="123" t="s">
        <v>129</v>
      </c>
      <c r="H56" s="123" t="s">
        <v>818</v>
      </c>
      <c r="I56" s="27">
        <v>1</v>
      </c>
      <c r="J56" s="27">
        <v>0</v>
      </c>
      <c r="K56" s="260">
        <f t="shared" si="4"/>
        <v>0</v>
      </c>
      <c r="L56" s="106">
        <v>500</v>
      </c>
      <c r="M56" s="112"/>
      <c r="N56" s="22"/>
      <c r="O56" s="22"/>
      <c r="P56" s="22"/>
      <c r="Q56" s="261">
        <f t="shared" si="5"/>
        <v>500</v>
      </c>
      <c r="R56" s="146">
        <f t="shared" si="6"/>
        <v>4</v>
      </c>
      <c r="S56" s="148" t="str">
        <f t="shared" si="7"/>
        <v>ERROR</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f t="shared" si="3"/>
        <v>54</v>
      </c>
      <c r="D59" s="113" t="s">
        <v>796</v>
      </c>
      <c r="E59" s="113"/>
      <c r="F59" s="123" t="s">
        <v>125</v>
      </c>
      <c r="G59" s="123" t="s">
        <v>118</v>
      </c>
      <c r="H59" s="123" t="s">
        <v>809</v>
      </c>
      <c r="I59" s="27">
        <v>1</v>
      </c>
      <c r="J59" s="27">
        <v>0</v>
      </c>
      <c r="K59" s="260">
        <f t="shared" si="4"/>
        <v>0</v>
      </c>
      <c r="L59" s="106">
        <v>279044.90000000002</v>
      </c>
      <c r="M59" s="112"/>
      <c r="N59" s="22"/>
      <c r="O59" s="22"/>
      <c r="P59" s="22"/>
      <c r="Q59" s="261">
        <f t="shared" si="5"/>
        <v>279044.90000000002</v>
      </c>
      <c r="R59" s="146">
        <f t="shared" si="6"/>
        <v>4</v>
      </c>
      <c r="S59" s="148" t="str">
        <f t="shared" si="7"/>
        <v>ERROR</v>
      </c>
      <c r="AL59" s="20"/>
      <c r="AM59" s="20"/>
      <c r="AN59" s="20"/>
    </row>
    <row r="60" spans="2:40" x14ac:dyDescent="0.25">
      <c r="B60" s="236">
        <v>36</v>
      </c>
      <c r="C60" s="259">
        <f t="shared" si="3"/>
        <v>54</v>
      </c>
      <c r="D60" s="113" t="s">
        <v>796</v>
      </c>
      <c r="E60" s="113"/>
      <c r="F60" s="123" t="s">
        <v>125</v>
      </c>
      <c r="G60" s="123" t="s">
        <v>118</v>
      </c>
      <c r="H60" s="123" t="s">
        <v>810</v>
      </c>
      <c r="I60" s="27">
        <v>1</v>
      </c>
      <c r="J60" s="27">
        <v>0</v>
      </c>
      <c r="K60" s="260">
        <f t="shared" si="4"/>
        <v>0</v>
      </c>
      <c r="L60" s="106">
        <v>291435.88</v>
      </c>
      <c r="M60" s="112"/>
      <c r="N60" s="22"/>
      <c r="O60" s="22"/>
      <c r="P60" s="22"/>
      <c r="Q60" s="261">
        <f t="shared" si="5"/>
        <v>291435.88</v>
      </c>
      <c r="R60" s="146">
        <f t="shared" si="6"/>
        <v>4</v>
      </c>
      <c r="S60" s="148" t="str">
        <f t="shared" si="7"/>
        <v>ERROR</v>
      </c>
      <c r="AL60" s="20"/>
      <c r="AM60" s="20"/>
      <c r="AN60" s="20"/>
    </row>
    <row r="61" spans="2:40" x14ac:dyDescent="0.25">
      <c r="B61" s="236">
        <v>37</v>
      </c>
      <c r="C61" s="259">
        <f t="shared" si="3"/>
        <v>54</v>
      </c>
      <c r="D61" s="113" t="s">
        <v>796</v>
      </c>
      <c r="E61" s="113"/>
      <c r="F61" s="123" t="s">
        <v>125</v>
      </c>
      <c r="G61" s="123" t="s">
        <v>118</v>
      </c>
      <c r="H61" s="123" t="s">
        <v>811</v>
      </c>
      <c r="I61" s="27">
        <v>1</v>
      </c>
      <c r="J61" s="27">
        <v>0</v>
      </c>
      <c r="K61" s="260">
        <f t="shared" si="4"/>
        <v>0</v>
      </c>
      <c r="L61" s="106">
        <v>292836.32</v>
      </c>
      <c r="M61" s="112"/>
      <c r="N61" s="22"/>
      <c r="O61" s="22"/>
      <c r="P61" s="22"/>
      <c r="Q61" s="261">
        <f t="shared" si="5"/>
        <v>292836.32</v>
      </c>
      <c r="R61" s="146">
        <f t="shared" si="6"/>
        <v>4</v>
      </c>
      <c r="S61" s="148" t="str">
        <f t="shared" si="7"/>
        <v>ERROR</v>
      </c>
      <c r="AL61" s="20"/>
      <c r="AM61" s="20"/>
      <c r="AN61" s="20"/>
    </row>
    <row r="62" spans="2:40" x14ac:dyDescent="0.25">
      <c r="B62" s="236">
        <v>38</v>
      </c>
      <c r="C62" s="259">
        <f t="shared" si="3"/>
        <v>54</v>
      </c>
      <c r="D62" s="113" t="s">
        <v>796</v>
      </c>
      <c r="E62" s="113"/>
      <c r="F62" s="123" t="s">
        <v>125</v>
      </c>
      <c r="G62" s="123" t="s">
        <v>118</v>
      </c>
      <c r="H62" s="123" t="s">
        <v>812</v>
      </c>
      <c r="I62" s="27">
        <v>1</v>
      </c>
      <c r="J62" s="27">
        <v>0</v>
      </c>
      <c r="K62" s="260">
        <f t="shared" si="4"/>
        <v>0</v>
      </c>
      <c r="L62" s="106">
        <v>0</v>
      </c>
      <c r="M62" s="112"/>
      <c r="N62" s="22"/>
      <c r="O62" s="22"/>
      <c r="P62" s="22"/>
      <c r="Q62" s="261">
        <f t="shared" si="5"/>
        <v>0</v>
      </c>
      <c r="R62" s="146">
        <f t="shared" si="6"/>
        <v>4</v>
      </c>
      <c r="S62" s="148" t="str">
        <f t="shared" si="7"/>
        <v>ERROR</v>
      </c>
      <c r="AL62" s="20"/>
      <c r="AM62" s="20"/>
      <c r="AN62" s="20"/>
    </row>
    <row r="63" spans="2:40" x14ac:dyDescent="0.25">
      <c r="B63" s="236">
        <v>39</v>
      </c>
      <c r="C63" s="259">
        <f t="shared" si="3"/>
        <v>54</v>
      </c>
      <c r="D63" s="113" t="s">
        <v>796</v>
      </c>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f t="shared" si="3"/>
        <v>54</v>
      </c>
      <c r="D65" s="113" t="s">
        <v>813</v>
      </c>
      <c r="E65" s="113"/>
      <c r="F65" s="123" t="s">
        <v>125</v>
      </c>
      <c r="G65" s="123" t="s">
        <v>128</v>
      </c>
      <c r="H65" s="123" t="s">
        <v>819</v>
      </c>
      <c r="I65" s="27">
        <v>1</v>
      </c>
      <c r="J65" s="27">
        <v>0</v>
      </c>
      <c r="K65" s="260">
        <f t="shared" si="4"/>
        <v>0</v>
      </c>
      <c r="L65" s="106">
        <v>44231.95</v>
      </c>
      <c r="M65" s="112"/>
      <c r="N65" s="22"/>
      <c r="O65" s="22"/>
      <c r="P65" s="22"/>
      <c r="Q65" s="261">
        <f t="shared" si="5"/>
        <v>44231.95</v>
      </c>
      <c r="R65" s="146">
        <f t="shared" si="6"/>
        <v>1</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DHCSDOC-1797567310-6334</_dlc_DocId>
    <_dlc_DocIdUrl xmlns="69bc34b3-1921-46c7-8c7a-d18363374b4b">
      <Url>http://dhcsgovstaging:88/_layouts/15/DocIdRedir.aspx?ID=DHCSDOC-1797567310-6334</Url>
      <Description>DHCSDOC-1797567310-6334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653B70F9-9F75-4ED8-8CD2-8D754E0B6F96}"/>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Tulare-FY-21-22</dc:title>
  <dc:creator>Donna Ures</dc:creator>
  <cp:keywords/>
  <cp:lastModifiedBy>Traci Ruiz.</cp:lastModifiedBy>
  <cp:lastPrinted>2023-01-05T19:26:46Z</cp:lastPrinted>
  <dcterms:created xsi:type="dcterms:W3CDTF">2017-07-05T19:48:18Z</dcterms:created>
  <dcterms:modified xsi:type="dcterms:W3CDTF">2023-02-01T00:30:53Z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dc604ba6-5206-4813-8da8-854567c74355</vt:lpwstr>
  </property>
  <property fmtid="{D5CDD505-2E9C-101B-9397-08002B2CF9AE}" pid="4" name="Remediated">
    <vt:bool>false</vt:bool>
  </property>
  <property fmtid="{D5CDD505-2E9C-101B-9397-08002B2CF9AE}" pid="5" name="Division">
    <vt:lpwstr>11;#Community Services|c23dee46-a4de-4c29-8bbc-79830d9e7d7c</vt:lpwstr>
  </property>
</Properties>
</file>