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codeName="ThisWorkbook"/>
  <mc:AlternateContent xmlns:mc="http://schemas.openxmlformats.org/markup-compatibility/2006">
    <mc:Choice Requires="x15">
      <x15ac:absPath xmlns:x15ac="http://schemas.microsoft.com/office/spreadsheetml/2010/11/ac" url="J:\MHSA\RERs\21-22 RER\Ronda's Workpapers\"/>
    </mc:Choice>
  </mc:AlternateContent>
  <xr:revisionPtr revIDLastSave="0" documentId="13_ncr:1_{1DE20843-DDC1-431D-BB25-D3F711EA403E}" xr6:coauthVersionLast="47" xr6:coauthVersionMax="47" xr10:uidLastSave="{00000000-0000-0000-0000-000000000000}"/>
  <bookViews>
    <workbookView xWindow="14303" yWindow="-37" windowWidth="28995" windowHeight="15794" tabRatio="944" firstSheet="2" activeTab="3" xr2:uid="{00000000-000D-0000-FFFF-FFFF00000000}"/>
  </bookViews>
  <sheets>
    <sheet name="DHCS Only" sheetId="1" state="hidden" r:id="rId1"/>
    <sheet name="1. Information" sheetId="2" r:id="rId2"/>
    <sheet name="Instructions 1. Information" sheetId="15" r:id="rId3"/>
    <sheet name="A.2 Component Summary" sheetId="3" r:id="rId4"/>
    <sheet name="Instructions 2. Component Summa" sheetId="25" r:id="rId5"/>
    <sheet name="A.3 CSS" sheetId="4" r:id="rId6"/>
    <sheet name="Instructions 3. CSS" sheetId="26" r:id="rId7"/>
    <sheet name="A.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 r:id="rId28"/>
    <externalReference r:id="rId29"/>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9">'5. INN'!$A$1:$Q$36</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3">'A.2 Component Summary'!$B$1:$I$46</definedName>
    <definedName name="_xlnm.Print_Area" localSheetId="5">'A.3 CSS'!$B$1:$L$133</definedName>
    <definedName name="_xlnm.Print_Area" localSheetId="7">'A.4 PEI'!$B$1:$Q$133</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_xlnm.Print_Titles" localSheetId="3">'A.2 Component Summary'!$1:$10</definedName>
    <definedName name="_xlnm.Print_Titles" localSheetId="5">'A.3 CSS'!$1:$10</definedName>
    <definedName name="_xlnm.Print_Titles" localSheetId="7">'A.4 PEI'!$1:$10</definedName>
    <definedName name="SCO_Distribution">Checks!$A$5:$E$63</definedName>
    <definedName name="TitleRegion1.b12.e52.20">'10. Comments'!$B$11</definedName>
    <definedName name="TitleRegion1.b12.i15.3">'A.2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'A.4 PEI'!$B$13</definedName>
    <definedName name="TitleRegion1.b13.k23.9">'5. INN'!$B$13</definedName>
    <definedName name="TitleRegion1.b13.k27.5">'A.3 CSS'!$B$13</definedName>
    <definedName name="TitleRegion1.b15.k21.11">'6. WET'!$B$15</definedName>
    <definedName name="TitleRegion1.b15.k21.14">'7. CFTN'!$B$15</definedName>
    <definedName name="TitleRegion1.b15.k23.9">'5. INN'!$B$15</definedName>
    <definedName name="TitleRegion2.b17.f23.3">'A.2 Component Summary'!$B$17</definedName>
    <definedName name="TitleRegion2.b25.l46.14">'7. CFTN'!$B$25</definedName>
    <definedName name="TitleRegion2.b26.f28.7">'A.4 PEI'!$B$26</definedName>
    <definedName name="TitleRegion2.b26.j32.11">'6. WET'!$B$26</definedName>
    <definedName name="TitleRegion2.b27.q128.9">'5. INN'!$B$27</definedName>
    <definedName name="TitleRegion2.b32.l133.5">'A.3 CSS'!$B$32</definedName>
    <definedName name="TitleRegion2.b49.g80.16">'8. Adjustment (MHSA)'!$B$49</definedName>
    <definedName name="TitleRegion3.b25.i27.3">'A.2 Component Summary'!$B$25</definedName>
    <definedName name="TitleRegion3.b32.q133.7">'A.4 PEI'!$B$32</definedName>
    <definedName name="TitleRegion4.b29.i36.3">'A.2 Component Summary'!$B$29</definedName>
    <definedName name="TitleRegion5.b38.d46.3">'A.2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3" hidden="1">'A.2 Component Summary'!$B$1:$I$46</definedName>
    <definedName name="Z_7E50CCF5_45D0_4F7B_8896_9BA64DCA8A01_.wvu.PrintArea" localSheetId="5" hidden="1">'A.3 CSS'!$B$1:$L$133</definedName>
    <definedName name="Z_7E50CCF5_45D0_4F7B_8896_9BA64DCA8A01_.wvu.PrintArea" localSheetId="7" hidden="1">'A.4 PEI'!$B$1:$Q$133</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7E50CCF5_45D0_4F7B_8896_9BA64DCA8A01_.wvu.PrintTitles" localSheetId="3" hidden="1">'A.2 Component Summary'!$1:$10</definedName>
    <definedName name="Z_7E50CCF5_45D0_4F7B_8896_9BA64DCA8A01_.wvu.PrintTitles" localSheetId="5" hidden="1">'A.3 CSS'!$1:$10</definedName>
    <definedName name="Z_7E50CCF5_45D0_4F7B_8896_9BA64DCA8A01_.wvu.PrintTitles" localSheetId="7" hidden="1">'A.4 PEI'!$1:$10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3" hidden="1">'A.2 Component Summary'!$B$1:$I$46</definedName>
    <definedName name="Z_D8D3A042_2CA2_4641_BB44_BC182917D730_.wvu.PrintArea" localSheetId="5" hidden="1">'A.3 CSS'!$B$1:$L$133</definedName>
    <definedName name="Z_D8D3A042_2CA2_4641_BB44_BC182917D730_.wvu.PrintArea" localSheetId="7" hidden="1">'A.4 PEI'!$B$1:$Q$133</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D8D3A042_2CA2_4641_BB44_BC182917D730_.wvu.PrintTitles" localSheetId="3" hidden="1">'A.2 Component Summary'!$1:$10</definedName>
    <definedName name="Z_D8D3A042_2CA2_4641_BB44_BC182917D730_.wvu.PrintTitles" localSheetId="5" hidden="1">'A.3 CSS'!$1:$10</definedName>
    <definedName name="Z_D8D3A042_2CA2_4641_BB44_BC182917D730_.wvu.PrintTitles" localSheetId="7" hidden="1">'A.4 PEI'!$1:$10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3" hidden="1">'A.2 Component Summary'!$B$1:$I$46</definedName>
    <definedName name="Z_E7E6A24F_BA49_4C7A_9CED_3AB8F60308A1_.wvu.PrintArea" localSheetId="5" hidden="1">'A.3 CSS'!$B$1:$L$133</definedName>
    <definedName name="Z_E7E6A24F_BA49_4C7A_9CED_3AB8F60308A1_.wvu.PrintArea" localSheetId="7" hidden="1">'A.4 PEI'!$B$1:$Q$133</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 name="Z_E7E6A24F_BA49_4C7A_9CED_3AB8F60308A1_.wvu.PrintTitles" localSheetId="3" hidden="1">'A.2 Component Summary'!$1:$10</definedName>
    <definedName name="Z_E7E6A24F_BA49_4C7A_9CED_3AB8F60308A1_.wvu.PrintTitles" localSheetId="5" hidden="1">'A.3 CSS'!$1:$10</definedName>
    <definedName name="Z_E7E6A24F_BA49_4C7A_9CED_3AB8F60308A1_.wvu.PrintTitles" localSheetId="7" hidden="1">'A.4 PEI'!$1:$10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7" l="1"/>
  <c r="F17" i="7"/>
  <c r="F17" i="5"/>
  <c r="F17" i="4"/>
  <c r="K38" i="4"/>
  <c r="K37" i="4"/>
  <c r="K36" i="4"/>
  <c r="K35" i="4"/>
  <c r="K34" i="4"/>
  <c r="H36" i="4"/>
  <c r="H34" i="4"/>
  <c r="H38" i="4"/>
  <c r="H37" i="4"/>
  <c r="H35" i="4"/>
  <c r="D46" i="3"/>
  <c r="J39" i="5" l="1"/>
  <c r="J38" i="5"/>
  <c r="J37" i="5"/>
  <c r="J36" i="5"/>
  <c r="J35" i="5"/>
  <c r="J34" i="5"/>
  <c r="B5" i="3" l="1"/>
  <c r="B6" i="2"/>
  <c r="G9" i="4" l="1"/>
  <c r="D9" i="4"/>
  <c r="E9" i="6"/>
  <c r="G9" i="5"/>
  <c r="H9" i="6"/>
  <c r="E9" i="5"/>
  <c r="D9" i="7"/>
  <c r="D21" i="3"/>
  <c r="C9" i="3"/>
  <c r="I18" i="10" l="1"/>
  <c r="K18" i="8"/>
  <c r="K19" i="8"/>
  <c r="K19" i="7"/>
  <c r="K18" i="7"/>
  <c r="K17" i="6"/>
  <c r="K18" i="6"/>
  <c r="K20" i="5"/>
  <c r="K19" i="5"/>
  <c r="K18" i="5"/>
  <c r="K24" i="4"/>
  <c r="K23" i="4"/>
  <c r="K22" i="4"/>
  <c r="K21" i="4"/>
  <c r="K20" i="4"/>
  <c r="K19" i="4"/>
  <c r="K18" i="4"/>
  <c r="C15" i="9" l="1"/>
  <c r="F20" i="8"/>
  <c r="F21" i="8" s="1"/>
  <c r="D44" i="3" l="1"/>
  <c r="I15" i="3" l="1"/>
  <c r="G9" i="11" l="1"/>
  <c r="C9" i="11"/>
  <c r="H10" i="12" l="1"/>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8" i="7"/>
  <c r="C28" i="7" s="1"/>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0" i="6"/>
  <c r="K16" i="6"/>
  <c r="K15" i="6"/>
  <c r="K16" i="5"/>
  <c r="K15" i="5"/>
  <c r="K16" i="4"/>
  <c r="K15" i="4"/>
  <c r="D40" i="3" l="1"/>
  <c r="H7" i="12" s="1"/>
  <c r="B6" i="4"/>
  <c r="B6" i="5"/>
  <c r="B6" i="6"/>
  <c r="B6" i="7"/>
  <c r="B6" i="8"/>
  <c r="B6" i="9"/>
  <c r="B6" i="10"/>
  <c r="B6" i="11"/>
  <c r="B5" i="4"/>
  <c r="B5" i="5"/>
  <c r="B5" i="6"/>
  <c r="B5" i="7"/>
  <c r="B5" i="8"/>
  <c r="B5" i="9"/>
  <c r="B5" i="10"/>
  <c r="B5" i="11"/>
  <c r="I21" i="5" l="1"/>
  <c r="I22" i="5" s="1"/>
  <c r="E34" i="3" s="1"/>
  <c r="H21" i="5"/>
  <c r="H22" i="5" s="1"/>
  <c r="E33" i="3" s="1"/>
  <c r="G21" i="5"/>
  <c r="G22" i="5" l="1"/>
  <c r="E32" i="3" l="1"/>
  <c r="I25" i="4" l="1"/>
  <c r="H25" i="4"/>
  <c r="I27" i="4" l="1"/>
  <c r="I26" i="4"/>
  <c r="H27" i="4"/>
  <c r="D33" i="3" s="1"/>
  <c r="H26" i="4"/>
  <c r="D34" i="3"/>
  <c r="E28" i="14" l="1"/>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D36" i="6" l="1"/>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D60" i="6" l="1"/>
  <c r="D62" i="6"/>
  <c r="D59" i="6"/>
  <c r="D40" i="6"/>
  <c r="D63" i="6"/>
  <c r="D79" i="6"/>
  <c r="D78" i="6"/>
  <c r="D66" i="6"/>
  <c r="D48" i="6"/>
  <c r="D46" i="6"/>
  <c r="D56" i="6"/>
  <c r="D75" i="6"/>
  <c r="D74" i="6"/>
  <c r="D43" i="6"/>
  <c r="D42" i="6"/>
  <c r="D51" i="6"/>
  <c r="D83" i="6"/>
  <c r="D72" i="6"/>
  <c r="D52" i="6"/>
  <c r="D71" i="6"/>
  <c r="D82" i="6"/>
  <c r="D39" i="6"/>
  <c r="D54" i="6"/>
  <c r="D67" i="6"/>
  <c r="K34" i="5"/>
  <c r="I20" i="8" l="1"/>
  <c r="I21" i="8" s="1"/>
  <c r="J20" i="8"/>
  <c r="J21" i="8" s="1"/>
  <c r="J21" i="6" l="1"/>
  <c r="I21" i="6"/>
  <c r="H21" i="6"/>
  <c r="G21" i="6"/>
  <c r="E11" i="14" l="1"/>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K21" i="8" l="1"/>
  <c r="I21" i="7"/>
  <c r="G34" i="3" s="1"/>
  <c r="H21" i="7"/>
  <c r="G33" i="3" s="1"/>
  <c r="H36" i="3"/>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F20" i="6" l="1"/>
  <c r="G20" i="6"/>
  <c r="H19" i="6"/>
  <c r="I19" i="6"/>
  <c r="J19" i="6"/>
  <c r="J20" i="6"/>
  <c r="G19" i="6"/>
  <c r="H20" i="6"/>
  <c r="I20" i="6"/>
  <c r="J23" i="6" l="1"/>
  <c r="F35" i="3" s="1"/>
  <c r="H23" i="6"/>
  <c r="F33" i="3" s="1"/>
  <c r="I33" i="3" s="1"/>
  <c r="G23" i="6"/>
  <c r="F32" i="3" s="1"/>
  <c r="I23" i="6"/>
  <c r="F34" i="3" s="1"/>
  <c r="I34" i="3" s="1"/>
  <c r="D41" i="3"/>
  <c r="K20" i="6"/>
  <c r="I22" i="6"/>
  <c r="G22" i="6"/>
  <c r="H22" i="6"/>
  <c r="C45" i="9" l="1"/>
  <c r="J22" i="6" l="1"/>
  <c r="G25" i="4"/>
  <c r="G27" i="4" l="1"/>
  <c r="D32" i="3" s="1"/>
  <c r="I32" i="3" s="1"/>
  <c r="G26" i="4"/>
  <c r="J25" i="4"/>
  <c r="J27" i="4" l="1"/>
  <c r="D35" i="3" s="1"/>
  <c r="J26" i="4"/>
  <c r="K17" i="7" l="1"/>
  <c r="J20" i="7"/>
  <c r="J21" i="7" s="1"/>
  <c r="G35" i="3" s="1"/>
  <c r="P37" i="5"/>
  <c r="J21" i="5" s="1"/>
  <c r="J22" i="5" s="1"/>
  <c r="E35" i="3" s="1"/>
  <c r="H14" i="3"/>
  <c r="K17" i="5"/>
  <c r="I35" i="3" l="1"/>
  <c r="K17" i="4" l="1"/>
  <c r="G14" i="3" l="1"/>
  <c r="E14" i="3"/>
  <c r="F14" i="3"/>
  <c r="G38" i="4"/>
  <c r="L38" i="4" s="1"/>
  <c r="C38" i="4" s="1"/>
  <c r="G35" i="4"/>
  <c r="L35" i="4" s="1"/>
  <c r="C35" i="4" s="1"/>
  <c r="G36" i="4"/>
  <c r="L36" i="4" s="1"/>
  <c r="C36" i="4" s="1"/>
  <c r="G37" i="4"/>
  <c r="L37" i="4" s="1"/>
  <c r="C37" i="4" s="1"/>
  <c r="L39" i="4"/>
  <c r="C39" i="4" s="1"/>
  <c r="D14" i="3"/>
  <c r="L29" i="6" l="1"/>
  <c r="I14" i="3"/>
  <c r="H9" i="12" s="1"/>
  <c r="L34" i="5"/>
  <c r="G34" i="4"/>
  <c r="C34" i="5" l="1"/>
  <c r="Q34" i="5"/>
  <c r="L31" i="6"/>
  <c r="L32" i="6" s="1"/>
  <c r="Q32" i="6" s="1"/>
  <c r="D29" i="6" s="1"/>
  <c r="Q29" i="6"/>
  <c r="F19" i="6"/>
  <c r="F25" i="4"/>
  <c r="L34" i="4"/>
  <c r="C34" i="4" s="1"/>
  <c r="E29" i="7"/>
  <c r="L37" i="5"/>
  <c r="L39" i="5"/>
  <c r="L38" i="5"/>
  <c r="F21" i="5" s="1"/>
  <c r="L35" i="5"/>
  <c r="L36" i="5"/>
  <c r="Q39" i="5" l="1"/>
  <c r="C39" i="5"/>
  <c r="D32" i="6"/>
  <c r="D30" i="6"/>
  <c r="D31" i="6"/>
  <c r="C37" i="5"/>
  <c r="Q37" i="5"/>
  <c r="K19" i="6"/>
  <c r="D42" i="3"/>
  <c r="Q31" i="6"/>
  <c r="F21" i="6"/>
  <c r="K21" i="6" s="1"/>
  <c r="C38" i="5"/>
  <c r="Q38" i="5"/>
  <c r="Q36" i="5"/>
  <c r="C36" i="5"/>
  <c r="J29" i="7"/>
  <c r="C29" i="7" s="1"/>
  <c r="F20" i="7"/>
  <c r="K21" i="5"/>
  <c r="F22" i="5"/>
  <c r="Q35" i="5"/>
  <c r="C35" i="5"/>
  <c r="K25" i="4"/>
  <c r="F27" i="4"/>
  <c r="F26" i="4"/>
  <c r="K26" i="4" s="1"/>
  <c r="K22" i="5" l="1"/>
  <c r="E31" i="3"/>
  <c r="E36" i="3" s="1"/>
  <c r="E28" i="5"/>
  <c r="F21" i="7"/>
  <c r="K20" i="7"/>
  <c r="F22" i="6"/>
  <c r="K22" i="6" s="1"/>
  <c r="F23" i="6"/>
  <c r="K27" i="4"/>
  <c r="D31" i="3"/>
  <c r="F31" i="3" l="1"/>
  <c r="F36" i="3" s="1"/>
  <c r="K23" i="6"/>
  <c r="G31" i="3"/>
  <c r="G36" i="3" s="1"/>
  <c r="K21" i="7"/>
  <c r="D36" i="3"/>
  <c r="I31" i="3"/>
  <c r="I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<sst xmlns="http://schemas.openxmlformats.org/spreadsheetml/2006/main" count="1454" uniqueCount="806">
  <si>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</si>
  <si>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</si>
  <si>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</si>
  <si>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</si>
  <si>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</si>
  <si>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</si>
  <si>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</si>
  <si>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</si>
  <si>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</si>
  <si>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</si>
  <si>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</si>
  <si>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</si>
  <si>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</si>
  <si>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</si>
  <si>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</si>
  <si>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</si>
  <si>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</si>
  <si>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</si>
  <si>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</si>
  <si>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</si>
  <si>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</si>
  <si>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</si>
  <si>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</si>
  <si>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</si>
  <si>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</si>
  <si>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</si>
  <si>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</si>
  <si>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</si>
  <si>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</si>
  <si>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</si>
  <si>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</si>
  <si>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</si>
  <si>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</si>
  <si>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</si>
  <si>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</si>
  <si>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</si>
  <si>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</si>
  <si>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</si>
  <si>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</si>
  <si>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</si>
  <si>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</si>
  <si>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</si>
  <si>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</si>
  <si>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</si>
  <si>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</si>
  <si>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</si>
  <si>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</si>
  <si>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</si>
  <si>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</si>
  <si>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</si>
  <si>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</si>
  <si>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</si>
  <si>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</si>
  <si>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</si>
  <si>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</si>
  <si>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</si>
  <si>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</si>
  <si>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</si>
  <si>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</si>
  <si>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</si>
  <si>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</si>
  <si>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</si>
  <si>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</si>
  <si>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</si>
  <si>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</si>
  <si>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</si>
  <si>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</si>
  <si>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</si>
  <si>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</si>
  <si>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</si>
  <si>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</si>
  <si>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</si>
  <si>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</si>
  <si>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</si>
  <si>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</si>
  <si>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</si>
  <si>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</si>
  <si>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</si>
  <si>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</si>
  <si>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</si>
  <si>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</si>
  <si>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</si>
  <si>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</si>
  <si>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</si>
  <si>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</si>
  <si>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</si>
  <si>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</si>
  <si>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</si>
  <si>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</si>
  <si>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</si>
  <si>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</si>
  <si>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</si>
  <si>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</si>
  <si>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</si>
  <si>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</si>
  <si>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</si>
  <si>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</si>
  <si>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</si>
  <si>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</si>
  <si>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</si>
  <si>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</si>
  <si>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</si>
  <si>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</si>
  <si>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</si>
  <si>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</si>
  <si>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</si>
  <si>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</si>
  <si>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</si>
  <si>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</si>
  <si>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</si>
  <si>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</si>
  <si>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</si>
  <si>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</si>
  <si>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</si>
  <si>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</si>
  <si>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</si>
  <si>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</si>
  <si>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</si>
  <si>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</si>
  <si>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</si>
  <si>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</si>
  <si>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</si>
  <si>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</si>
  <si>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</si>
  <si>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</si>
  <si>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</si>
  <si>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</si>
  <si>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</si>
  <si>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</si>
  <si>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</si>
  <si>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</si>
  <si>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</si>
  <si>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</si>
  <si>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</si>
  <si>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</si>
  <si>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</si>
  <si>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</si>
  <si>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</si>
  <si>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</si>
  <si>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</si>
  <si>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</si>
  <si>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</si>
  <si>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</si>
  <si>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</si>
  <si>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</si>
  <si>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</si>
  <si>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</si>
  <si>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</si>
  <si>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</si>
  <si>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</si>
  <si>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</si>
  <si>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</si>
  <si>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</si>
  <si>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</si>
  <si>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</si>
  <si>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</si>
  <si>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</si>
  <si>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</si>
  <si>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</si>
  <si>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</si>
  <si>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</si>
  <si>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</si>
  <si>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</si>
  <si>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</si>
  <si>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</si>
  <si>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</si>
  <si>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</si>
  <si>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</si>
  <si>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</si>
  <si>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</si>
  <si>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</si>
  <si>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</si>
  <si>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</si>
  <si>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</si>
  <si>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</si>
  <si>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</si>
  <si>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</si>
  <si>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</si>
  <si>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</si>
  <si>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</si>
  <si>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</si>
  <si>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</si>
  <si>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</si>
  <si>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</si>
  <si>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</si>
  <si>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</si>
  <si>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</si>
  <si>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</si>
  <si>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</si>
  <si>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</si>
  <si>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</si>
  <si>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</si>
  <si>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</si>
  <si>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</si>
  <si>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</si>
  <si>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</si>
  <si>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</si>
  <si>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</si>
  <si>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</si>
  <si>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</si>
  <si>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</si>
  <si>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</si>
  <si>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</si>
  <si>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</si>
  <si>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</si>
  <si>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</si>
  <si>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</si>
  <si>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</si>
  <si>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</si>
  <si>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</si>
  <si>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</si>
  <si>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</si>
  <si>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</si>
  <si>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</si>
  <si>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</si>
  <si>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</si>
  <si>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</si>
  <si>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</si>
  <si>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</si>
  <si>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</si>
  <si>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</si>
  <si>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</si>
  <si>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</si>
  <si>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</si>
  <si>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</si>
  <si>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</si>
  <si>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</si>
  <si>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</si>
  <si>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</si>
  <si>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</si>
  <si>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</si>
  <si>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</si>
  <si>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</si>
  <si>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</si>
  <si>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</si>
  <si>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</si>
  <si>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</si>
  <si>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</si>
  <si>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</si>
  <si>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</si>
  <si>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</si>
  <si>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</si>
  <si>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</si>
  <si>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</si>
  <si>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</si>
  <si>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</si>
  <si>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</si>
  <si>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</si>
  <si>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</si>
  <si>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</si>
  <si>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</si>
  <si>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</si>
  <si>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</si>
  <si>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</si>
  <si>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</si>
  <si>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</si>
  <si>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</si>
  <si>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</si>
  <si>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</si>
  <si>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</si>
  <si>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</si>
  <si>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</si>
  <si>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</si>
  <si>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</si>
  <si>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</si>
  <si>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</si>
  <si>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</si>
  <si>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</si>
  <si>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</si>
  <si>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</si>
  <si>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</si>
  <si>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</si>
  <si>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</si>
  <si>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</si>
  <si>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</si>
  <si>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</si>
  <si>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</si>
  <si>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</si>
  <si>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</si>
  <si>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</si>
  <si>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</si>
  <si>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</si>
  <si>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</si>
  <si>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</si>
  <si>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</si>
  <si>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</si>
  <si>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</si>
  <si>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</si>
  <si>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</si>
  <si>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</si>
  <si>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</si>
  <si>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</si>
  <si>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</si>
  <si>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</si>
  <si>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</si>
  <si>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</si>
  <si>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</si>
  <si>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</si>
  <si>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</si>
  <si>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</si>
  <si>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</si>
  <si>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</si>
  <si>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</si>
  <si>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</si>
  <si>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</si>
  <si>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</si>
  <si>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</si>
  <si>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</si>
  <si>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</si>
  <si>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</si>
  <si>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</si>
  <si>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</si>
  <si>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</si>
  <si>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</si>
  <si>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</si>
  <si>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</si>
  <si>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</si>
  <si>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</si>
  <si>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</si>
  <si>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</si>
  <si>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</si>
  <si>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</si>
  <si>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</si>
  <si>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</si>
  <si>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</si>
  <si>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</si>
  <si>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</si>
  <si>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</si>
  <si>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</si>
  <si>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</si>
  <si>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</si>
  <si>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</si>
  <si>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</si>
  <si>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</si>
  <si>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</si>
  <si>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</si>
  <si>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</si>
  <si>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</si>
  <si>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</si>
  <si>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</si>
  <si>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</si>
  <si>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</si>
  <si>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</si>
  <si>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</si>
  <si>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</si>
  <si>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</si>
  <si>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</si>
  <si>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</si>
  <si>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</si>
  <si>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</si>
  <si>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</si>
  <si>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</si>
  <si>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</si>
  <si>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</si>
  <si>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</si>
  <si>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</si>
  <si>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</si>
  <si>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</si>
  <si>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</si>
  <si>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</si>
  <si>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</si>
  <si>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</si>
  <si>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</si>
  <si>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</si>
  <si>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</si>
  <si>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</si>
  <si>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</si>
  <si>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</si>
  <si>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</si>
  <si>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</si>
  <si>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</si>
  <si>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</si>
  <si>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</si>
  <si>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</si>
  <si>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</si>
  <si>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</si>
  <si>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</si>
  <si>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</si>
  <si>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</si>
  <si>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</si>
  <si>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</si>
  <si>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</si>
  <si>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</si>
  <si>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</si>
  <si>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</si>
  <si>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</si>
  <si>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</si>
  <si>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</si>
  <si>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</si>
  <si>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</si>
  <si>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</si>
  <si>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</si>
  <si>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</si>
  <si>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</si>
  <si>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</si>
  <si>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</si>
  <si>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</si>
  <si>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</si>
  <si>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</si>
  <si>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</si>
  <si>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</si>
  <si>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</si>
  <si>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</si>
  <si>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</si>
  <si>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</si>
  <si>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</si>
  <si>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</si>
  <si>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</si>
  <si>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</si>
  <si>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</si>
  <si>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</si>
  <si>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</si>
  <si>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</si>
  <si>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</si>
  <si>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</si>
  <si>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</si>
  <si>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</si>
  <si>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</si>
  <si>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</si>
  <si>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</si>
  <si>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</si>
  <si>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</si>
  <si>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</si>
  <si>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</si>
  <si>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</si>
  <si>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</si>
  <si>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</si>
  <si>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</si>
  <si>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</si>
  <si>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</si>
  <si>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</si>
  <si>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</si>
  <si>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</si>
  <si>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</si>
  <si>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</si>
  <si>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</si>
  <si>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</si>
  <si>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</si>
  <si>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</si>
  <si>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</si>
  <si>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</si>
  <si>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</si>
  <si>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</si>
  <si>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</si>
  <si>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</si>
  <si>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</si>
  <si>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</si>
  <si>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</si>
  <si>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</si>
  <si>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</si>
  <si>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</si>
  <si>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</si>
  <si>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</si>
  <si>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</si>
  <si>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</si>
  <si>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</si>
  <si>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</si>
  <si>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</si>
  <si>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</si>
  <si>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</si>
  <si>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</si>
  <si>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</si>
  <si>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</si>
  <si>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</si>
  <si>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</si>
  <si>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</si>
  <si>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</si>
  <si>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</si>
  <si>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</si>
  <si>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</si>
  <si>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</si>
  <si>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</si>
  <si>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</si>
  <si>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</si>
  <si>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</si>
  <si>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</si>
  <si>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</si>
  <si>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</si>
  <si>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</si>
  <si>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</si>
  <si>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</si>
  <si>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</si>
  <si>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</si>
  <si>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</si>
  <si>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</si>
  <si>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</si>
  <si>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</si>
  <si>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</si>
  <si>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</si>
  <si>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</si>
  <si>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</si>
  <si>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</si>
  <si>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</si>
  <si>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</si>
  <si>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</si>
  <si>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</si>
  <si>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</si>
  <si>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</si>
  <si>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</si>
  <si>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</si>
  <si>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</si>
  <si>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</si>
  <si>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</si>
  <si>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</si>
  <si>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</si>
  <si>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</si>
  <si>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</si>
  <si>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</si>
  <si>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</si>
  <si>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</si>
  <si>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</si>
  <si>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</si>
  <si>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</si>
  <si>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</si>
  <si>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</si>
  <si>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</si>
  <si>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</si>
  <si>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</si>
  <si>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</si>
  <si>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</si>
  <si>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</si>
  <si>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</si>
  <si>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</si>
  <si>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</si>
  <si>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</si>
  <si>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</si>
  <si>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</si>
  <si>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</si>
  <si>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</si>
  <si>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</si>
  <si>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</si>
  <si>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</si>
  <si>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</si>
  <si>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</si>
  <si>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</si>
  <si>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</si>
  <si>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</si>
  <si>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</si>
  <si>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</si>
  <si>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</si>
  <si>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</si>
  <si>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</si>
  <si>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</si>
  <si>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</si>
  <si>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</si>
  <si>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</si>
  <si>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</si>
  <si>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</si>
  <si>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</si>
  <si>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</si>
  <si>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</si>
  <si>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</si>
  <si>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</si>
  <si>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</si>
  <si>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</si>
  <si>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</si>
  <si>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</si>
  <si>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</si>
  <si>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</si>
  <si>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</si>
  <si>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</si>
  <si>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</si>
  <si>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</si>
  <si>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</si>
  <si>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</si>
  <si>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</si>
  <si>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</si>
  <si>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</si>
  <si>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</si>
  <si>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</si>
  <si>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</si>
  <si>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</si>
  <si>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</si>
  <si>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</si>
  <si>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</si>
  <si>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</si>
  <si>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</si>
  <si>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</si>
  <si>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</si>
  <si>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</si>
  <si>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</si>
  <si>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</si>
  <si>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</si>
  <si>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</si>
  <si>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</si>
  <si>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</si>
  <si>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</si>
  <si>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</si>
  <si>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</si>
  <si>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</si>
  <si>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</si>
  <si>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</si>
  <si>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</si>
  <si>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</si>
  <si>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</si>
  <si>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</si>
  <si>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</si>
  <si>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</si>
  <si>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</si>
  <si>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</si>
  <si>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</si>
  <si>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</si>
  <si>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</si>
  <si>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</si>
  <si>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</si>
  <si>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</si>
  <si>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</si>
  <si>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</si>
  <si>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</si>
  <si>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</si>
  <si>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</si>
  <si>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</si>
  <si>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</si>
  <si>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</si>
  <si>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</si>
  <si>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</si>
  <si>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</si>
  <si>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</si>
  <si>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</si>
  <si>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</si>
  <si>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</si>
  <si>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</si>
  <si>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</si>
  <si>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</si>
  <si>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</si>
  <si>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</si>
  <si>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</si>
  <si>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</si>
  <si>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</si>
  <si>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</si>
  <si>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</si>
  <si>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</si>
  <si>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</si>
  <si>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</si>
  <si>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</si>
  <si>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</si>
  <si>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</si>
  <si>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</si>
  <si>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</si>
  <si>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</si>
  <si>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</si>
  <si>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</si>
  <si>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</si>
  <si>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</si>
  <si>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</si>
  <si>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</si>
  <si>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</si>
  <si>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</si>
  <si>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</si>
  <si>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</si>
  <si>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</si>
  <si>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</si>
  <si>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</si>
  <si>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</si>
  <si>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</si>
  <si>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</si>
  <si>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</si>
  <si>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</si>
  <si>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</si>
  <si>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</si>
  <si>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</si>
  <si>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</si>
  <si>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</si>
  <si>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</si>
  <si>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</si>
  <si>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</si>
  <si>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</si>
  <si>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</si>
  <si>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</si>
  <si>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</si>
  <si>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</si>
  <si>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</si>
  <si>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</si>
  <si>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</si>
  <si>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</si>
  <si>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</si>
  <si>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</si>
  <si>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</si>
  <si>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</si>
  <si>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</si>
  <si>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</si>
  <si>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</si>
  <si>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</si>
  <si>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</si>
  <si>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</si>
  <si>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</si>
  <si>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</si>
  <si>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</si>
  <si>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</si>
  <si>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</si>
  <si>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</si>
  <si>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</si>
  <si>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</si>
  <si>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</si>
  <si>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</si>
  <si>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</si>
  <si>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</si>
  <si>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</si>
  <si>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</si>
  <si>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</si>
  <si>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</si>
  <si>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</si>
  <si>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</si>
  <si>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</si>
  <si>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</si>
  <si>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</si>
  <si>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</si>
  <si>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</si>
  <si>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</si>
  <si>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</si>
  <si>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</si>
  <si>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</si>
  <si>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</si>
  <si>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</si>
  <si>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</si>
  <si>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</si>
  <si>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</si>
  <si>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</si>
  <si>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</si>
  <si>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</si>
  <si>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</si>
  <si>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</si>
  <si>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</si>
  <si>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</si>
  <si>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</si>
  <si>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</si>
  <si>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</si>
  <si>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</si>
  <si>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</si>
  <si>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</si>
  <si>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</si>
  <si>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</si>
  <si>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</si>
  <si>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</si>
  <si>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</si>
  <si>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</si>
  <si>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</si>
  <si>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</si>
  <si>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</si>
  <si>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</si>
  <si>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</si>
  <si>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</si>
  <si>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</si>
  <si>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</si>
  <si>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</si>
  <si>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</si>
  <si>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</si>
  <si>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</si>
  <si>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</si>
  <si>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</si>
  <si>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</si>
  <si>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</si>
  <si>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</si>
  <si>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</si>
  <si>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</si>
  <si>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</si>
  <si>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</si>
  <si>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</si>
  <si>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</si>
  <si>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</si>
  <si>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</si>
  <si>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</si>
  <si>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</si>
  <si>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</si>
  <si>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</si>
  <si>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</si>
  <si>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</si>
  <si>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</si>
  <si>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</si>
  <si>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</si>
  <si>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</si>
  <si>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</si>
  <si>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</si>
  <si>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</si>
  <si>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</si>
  <si>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</si>
  <si>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</si>
  <si>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</si>
  <si>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</si>
  <si>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</si>
  <si>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</si>
  <si>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</si>
  <si>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</si>
  <si>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1965 Live Oak Blvd</t>
  </si>
  <si>
    <t>Yuba City</t>
  </si>
  <si>
    <t>Tara Cole</t>
  </si>
  <si>
    <t>Interim ASO</t>
  </si>
  <si>
    <t>tcole@co.sutter.ca.us</t>
  </si>
  <si>
    <t>(530) 822-7200 ext 2293</t>
  </si>
  <si>
    <t>Youth and Family FSP Services</t>
  </si>
  <si>
    <t>Youth and Family Non FSP Services</t>
  </si>
  <si>
    <t>Healthy Options Promoting Empowerment (HOPE) Adult/Older Adult Program Integrated Full-Service Partnership</t>
  </si>
  <si>
    <t>Adult FSP Services</t>
  </si>
  <si>
    <t>Adult Non FSP</t>
  </si>
  <si>
    <t>Ethnic Outreach Services</t>
  </si>
  <si>
    <t>Early Intervention Programs</t>
  </si>
  <si>
    <t>Outreach Of Increasing Recognition of Early Signs of Mental Illness Program</t>
  </si>
  <si>
    <t>Prevention Programs</t>
  </si>
  <si>
    <t>Access and Linkage Treatment Program</t>
  </si>
  <si>
    <t>Stigma Discrimination and Reduction Program</t>
  </si>
  <si>
    <t>Suicide Prevention Program</t>
  </si>
  <si>
    <t>Telecare - iCARE (Mobile Engagement Team)</t>
  </si>
  <si>
    <t>Youth Urgent Services</t>
  </si>
  <si>
    <t>Ethnic Outreach Program (Hmong Outreach Program &amp; Latino Outreach Program)</t>
  </si>
  <si>
    <t>Early Childhood and Children's Full-Service Partnership, and Transition-Age Youth Full-Service Partnership</t>
  </si>
  <si>
    <t>Adult General Services Development and Bi-County Elder Services Team (BEST)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</si>
</sst>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20FY%2021.22%20RER%20excel%20workbook%20-%20Version%2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unty\HSMH\Users\rputman\Documents\0008\Reports\ARER\2021-2022\B.%20FY%2021.22%20RER%20excel%20workbook%20-%20Version%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20VETERANS%20DATA%20as%20of%2012-21-2022%20-%20VLOO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7-4102-701"/>
      <sheetName val="A. RER (Tara's original)"/>
      <sheetName val="B.1 Summary"/>
      <sheetName val="B.2 CSS"/>
      <sheetName val="Questions"/>
      <sheetName val="B.1 PEI"/>
      <sheetName val="B.2 Summary for Reporting"/>
      <sheetName val="B.3 0008 RevExp"/>
      <sheetName val="B.4 RevExp RGL250E Prog 701-717"/>
      <sheetName val="B.4a RGL250E (Prog 701-717)"/>
      <sheetName val="B.5 App.Exp 4102705"/>
    </sheetNames>
    <sheetDataSet>
      <sheetData sheetId="0"/>
      <sheetData sheetId="1"/>
      <sheetData sheetId="2"/>
      <sheetData sheetId="3"/>
      <sheetData sheetId="4"/>
      <sheetData sheetId="5">
        <row r="9">
          <cell r="S9">
            <v>695.58131667631642</v>
          </cell>
        </row>
        <row r="13">
          <cell r="S13">
            <v>47763.250411773726</v>
          </cell>
        </row>
        <row r="24">
          <cell r="S24">
            <v>230121.48560041466</v>
          </cell>
        </row>
        <row r="30">
          <cell r="S30">
            <v>1351145.8241663077</v>
          </cell>
        </row>
        <row r="34">
          <cell r="S34">
            <v>93439.756873518505</v>
          </cell>
        </row>
        <row r="40">
          <cell r="S40">
            <v>278580.31732886471</v>
          </cell>
        </row>
      </sheetData>
      <sheetData sheetId="6">
        <row r="17">
          <cell r="AC17">
            <v>-65661.8527142846</v>
          </cell>
          <cell r="AG17">
            <v>-480.79709380071068</v>
          </cell>
          <cell r="AL17">
            <v>-15235.835543579533</v>
          </cell>
          <cell r="AO17">
            <v>-4189.5046483351562</v>
          </cell>
        </row>
        <row r="34">
          <cell r="K34">
            <v>-1246609.54</v>
          </cell>
          <cell r="N34">
            <v>0</v>
          </cell>
          <cell r="Q34">
            <v>-119885.52</v>
          </cell>
          <cell r="T34">
            <v>-277642.78999999998</v>
          </cell>
          <cell r="W34">
            <v>-135181.74</v>
          </cell>
        </row>
        <row r="37">
          <cell r="K37">
            <v>-167925.06</v>
          </cell>
          <cell r="N37">
            <v>-5226.88</v>
          </cell>
          <cell r="Q37">
            <v>-74106.31</v>
          </cell>
          <cell r="T37">
            <v>-103887.73</v>
          </cell>
          <cell r="W37">
            <v>-33324.42</v>
          </cell>
          <cell r="AG37">
            <v>-2259.61</v>
          </cell>
        </row>
        <row r="38">
          <cell r="K38">
            <v>2000630.4047717149</v>
          </cell>
          <cell r="N38">
            <v>960686.13882501994</v>
          </cell>
          <cell r="Q38">
            <v>1672949.9391557314</v>
          </cell>
          <cell r="T38">
            <v>2712508.0693791946</v>
          </cell>
          <cell r="W38">
            <v>1214695.0575945424</v>
          </cell>
        </row>
        <row r="44">
          <cell r="AG44">
            <v>63169.083197378706</v>
          </cell>
          <cell r="AO44">
            <v>465963.13696362905</v>
          </cell>
        </row>
        <row r="45">
          <cell r="AC45">
            <v>486578.8441370916</v>
          </cell>
          <cell r="AG45">
            <v>2971.9555029294061</v>
          </cell>
          <cell r="AL45">
            <v>92057.840359979076</v>
          </cell>
        </row>
        <row r="46">
          <cell r="AO46">
            <v>84471.071351664839</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7-4102-701"/>
      <sheetName val="A. RER (Tara's original)"/>
      <sheetName val="B.1 Summary"/>
      <sheetName val="B.2 CSS"/>
      <sheetName val="Questions"/>
      <sheetName val="B.1 PEI"/>
      <sheetName val="B.2 Summary for Reporting"/>
      <sheetName val="B.3 0008 RevExp"/>
      <sheetName val="B.4 RevExp RGL250E Prog 701-717"/>
      <sheetName val="B.4a RGL250E (Prog 701-717)"/>
      <sheetName val="B.5 App.Exp 4102705"/>
    </sheetNames>
    <sheetDataSet>
      <sheetData sheetId="0" refreshError="1"/>
      <sheetData sheetId="1" refreshError="1"/>
      <sheetData sheetId="2" refreshError="1"/>
      <sheetData sheetId="3" refreshError="1"/>
      <sheetData sheetId="4" refreshError="1"/>
      <sheetData sheetId="5">
        <row r="9">
          <cell r="S9">
            <v>714.03188592838922</v>
          </cell>
          <cell r="Z9">
            <v>1</v>
          </cell>
        </row>
        <row r="13">
          <cell r="Z13">
            <v>0.15</v>
          </cell>
        </row>
        <row r="24">
          <cell r="Z24">
            <v>1</v>
          </cell>
        </row>
        <row r="30">
          <cell r="Z30">
            <v>0.90532063706075672</v>
          </cell>
        </row>
        <row r="34">
          <cell r="Z34">
            <v>0.64143920595533499</v>
          </cell>
        </row>
        <row r="40">
          <cell r="Z40">
            <v>0.97956720765709537</v>
          </cell>
        </row>
      </sheetData>
      <sheetData sheetId="6">
        <row r="17">
          <cell r="AC17">
            <v>165982.62872697014</v>
          </cell>
          <cell r="AE17">
            <v>0</v>
          </cell>
        </row>
        <row r="37">
          <cell r="AL37">
            <v>-24598.09</v>
          </cell>
        </row>
      </sheetData>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TERANS DATA as of 12-21-2022"/>
      <sheetName val="VETS DATA ONLY YES for VLOOKUP"/>
      <sheetName val="BO - Services Provided "/>
      <sheetName val="D.1 PIVOT SVC Code Breakout"/>
    </sheetNames>
    <sheetDataSet>
      <sheetData sheetId="0"/>
      <sheetData sheetId="1"/>
      <sheetData sheetId="2"/>
      <sheetData sheetId="3">
        <row r="43">
          <cell r="E43">
            <v>49617.792000000016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C8" zoomScale="80" zoomScaleNormal="80" zoomScaleSheetLayoutView="40" workbookViewId="0">
      <selection activeCell="E29" sqref="E2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Sutter/Yuba</v>
      </c>
      <c r="G9" s="190" t="s">
        <v>1</v>
      </c>
      <c r="H9" s="226">
        <f>IF(ISBLANK('1. Information'!D9),"",'1. Information'!D9)</f>
        <v>44953</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0</v>
      </c>
      <c r="G15" s="109">
        <v>0</v>
      </c>
      <c r="H15" s="109">
        <v>0</v>
      </c>
      <c r="I15" s="109">
        <v>0</v>
      </c>
      <c r="J15" s="109">
        <v>0</v>
      </c>
      <c r="K15" s="209">
        <f>SUM(F15:J15)</f>
        <v>0</v>
      </c>
      <c r="L15"/>
      <c r="M15"/>
      <c r="N15"/>
    </row>
    <row r="16" spans="1:17" ht="15.75" x14ac:dyDescent="0.25">
      <c r="B16" s="236">
        <v>2</v>
      </c>
      <c r="C16" s="263" t="s">
        <v>143</v>
      </c>
      <c r="D16" s="205"/>
      <c r="E16" s="206"/>
      <c r="F16" s="109">
        <v>0</v>
      </c>
      <c r="G16" s="109">
        <v>0</v>
      </c>
      <c r="H16" s="109">
        <v>0</v>
      </c>
      <c r="I16" s="109">
        <v>0</v>
      </c>
      <c r="J16" s="109">
        <v>0</v>
      </c>
      <c r="K16" s="209">
        <f>SUM(F16:J16)</f>
        <v>0</v>
      </c>
      <c r="L16"/>
      <c r="M16"/>
      <c r="N16"/>
    </row>
    <row r="17" spans="2:17" ht="15.75" x14ac:dyDescent="0.25">
      <c r="B17" s="236">
        <v>3</v>
      </c>
      <c r="C17" s="264" t="s">
        <v>238</v>
      </c>
      <c r="D17" s="208"/>
      <c r="E17" s="206"/>
      <c r="F17" s="109"/>
      <c r="G17" s="265"/>
      <c r="H17" s="265"/>
      <c r="I17" s="265"/>
      <c r="J17" s="265"/>
      <c r="K17" s="209">
        <f>F17</f>
        <v>0</v>
      </c>
      <c r="L17"/>
      <c r="M17"/>
      <c r="N17"/>
    </row>
    <row r="18" spans="2:17" ht="15.75" x14ac:dyDescent="0.25">
      <c r="B18" s="236">
        <v>4</v>
      </c>
      <c r="C18" s="264" t="s">
        <v>293</v>
      </c>
      <c r="D18" s="208"/>
      <c r="E18" s="206"/>
      <c r="F18" s="109"/>
      <c r="G18" s="265"/>
      <c r="H18" s="265"/>
      <c r="I18" s="265"/>
      <c r="J18" s="265"/>
      <c r="K18" s="209">
        <f>F18</f>
        <v>0</v>
      </c>
      <c r="L18"/>
      <c r="M18"/>
      <c r="N18"/>
    </row>
    <row r="19" spans="2:17" ht="15.75" x14ac:dyDescent="0.25">
      <c r="B19" s="236">
        <v>5</v>
      </c>
      <c r="C19" s="263" t="s">
        <v>144</v>
      </c>
      <c r="D19" s="205"/>
      <c r="E19" s="206"/>
      <c r="F19" s="266">
        <f>SUMIF($K$29:$K$128,"Project Administration",L$29:L$128)</f>
        <v>84471.071351664839</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84471.071351664839</v>
      </c>
      <c r="L19"/>
      <c r="M19"/>
      <c r="N19"/>
    </row>
    <row r="20" spans="2:17" ht="15.75" x14ac:dyDescent="0.2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ht="15.75" x14ac:dyDescent="0.25">
      <c r="B21" s="236">
        <v>7</v>
      </c>
      <c r="C21" s="263" t="s">
        <v>196</v>
      </c>
      <c r="D21" s="205"/>
      <c r="E21" s="206"/>
      <c r="F21" s="265">
        <f>SUMIF($K$29:$K$128,"Project Direct",L$29:L$128)</f>
        <v>465963.13696362905</v>
      </c>
      <c r="G21" s="268">
        <f>SUMIF($K$29:$K$128,"Project Direct",M$29:M$128)</f>
        <v>0</v>
      </c>
      <c r="H21" s="265">
        <f>SUMIF($K$29:$K$128,"Project Direct",N$29:N$128)</f>
        <v>0</v>
      </c>
      <c r="I21" s="265">
        <f>SUMIF($K$29:$K$128,"Project Direct",O$29:O$128)</f>
        <v>0</v>
      </c>
      <c r="J21" s="265">
        <f>SUMIF($K$29:$K$128,"Project Direct",P$29:P$128)</f>
        <v>0</v>
      </c>
      <c r="K21" s="209">
        <f t="shared" si="0"/>
        <v>465963.13696362905</v>
      </c>
      <c r="L21"/>
      <c r="M21"/>
      <c r="N21"/>
    </row>
    <row r="22" spans="2:17" ht="15.75" x14ac:dyDescent="0.25">
      <c r="B22" s="236">
        <v>8</v>
      </c>
      <c r="C22" s="263" t="s">
        <v>146</v>
      </c>
      <c r="D22" s="269"/>
      <c r="F22" s="160">
        <f>SUM(F19:F21)</f>
        <v>550434.20831529389</v>
      </c>
      <c r="G22" s="270">
        <f>SUM(G19:G21)</f>
        <v>0</v>
      </c>
      <c r="H22" s="160">
        <f>SUM(H19:H21)</f>
        <v>0</v>
      </c>
      <c r="I22" s="160">
        <f>SUM(I19:I21)</f>
        <v>0</v>
      </c>
      <c r="J22" s="160">
        <f t="shared" ref="J22" si="1">SUM(J19:J21)</f>
        <v>0</v>
      </c>
      <c r="K22" s="209">
        <f t="shared" si="0"/>
        <v>550434.20831529389</v>
      </c>
      <c r="L22"/>
      <c r="M22"/>
      <c r="N22"/>
    </row>
    <row r="23" spans="2:17" ht="30.95" customHeight="1" x14ac:dyDescent="0.25">
      <c r="B23" s="236">
        <v>9</v>
      </c>
      <c r="C23" s="271" t="s">
        <v>239</v>
      </c>
      <c r="D23" s="272"/>
      <c r="E23" s="273"/>
      <c r="F23" s="274">
        <f>SUM(F15:F16,F18:F21)</f>
        <v>550434.20831529389</v>
      </c>
      <c r="G23" s="274">
        <f>SUM(G15:G16,G19:G21)</f>
        <v>0</v>
      </c>
      <c r="H23" s="274">
        <f t="shared" ref="H23:J23" si="2">SUM(H15:H16,H19:H21)</f>
        <v>0</v>
      </c>
      <c r="I23" s="274">
        <f t="shared" si="2"/>
        <v>0</v>
      </c>
      <c r="J23" s="274">
        <f t="shared" si="2"/>
        <v>0</v>
      </c>
      <c r="K23" s="239">
        <f t="shared" si="0"/>
        <v>550434.20831529389</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
      <c r="B29" s="236">
        <v>10</v>
      </c>
      <c r="C29" s="224" t="s">
        <v>23</v>
      </c>
      <c r="D29" s="259">
        <f>IF(Q32&lt;&gt;0,VLOOKUP($E$9,Info_County_Code,2,FALSE),"")</f>
        <v>63</v>
      </c>
      <c r="E29" s="113" t="s">
        <v>801</v>
      </c>
      <c r="F29" s="354"/>
      <c r="G29" s="354">
        <v>43734</v>
      </c>
      <c r="H29" s="354">
        <v>44256</v>
      </c>
      <c r="I29" s="22">
        <v>5228688</v>
      </c>
      <c r="J29" s="22"/>
      <c r="K29" s="278" t="s">
        <v>140</v>
      </c>
      <c r="L29" s="23">
        <f>+'[3]B.2 Summary for Reporting'!$AO$46</f>
        <v>84471.071351664839</v>
      </c>
      <c r="M29" s="23"/>
      <c r="N29" s="22"/>
      <c r="O29" s="22"/>
      <c r="P29" s="25"/>
      <c r="Q29" s="209">
        <f>SUM(L29:P29)</f>
        <v>84471.071351664839</v>
      </c>
    </row>
    <row r="30" spans="2:17" x14ac:dyDescent="0.2">
      <c r="B30" s="236">
        <v>10</v>
      </c>
      <c r="C30" s="183" t="s">
        <v>25</v>
      </c>
      <c r="D30" s="279">
        <f t="shared" ref="D30:J31" si="3">IF(ISBLANK(D29),"",D29)</f>
        <v>63</v>
      </c>
      <c r="E30" s="280" t="str">
        <f t="shared" si="3"/>
        <v>Telecare - iCARE (Mobile Engagement Team)</v>
      </c>
      <c r="F30" s="281" t="str">
        <f t="shared" si="3"/>
        <v/>
      </c>
      <c r="G30" s="281">
        <f t="shared" si="3"/>
        <v>43734</v>
      </c>
      <c r="H30" s="281">
        <f t="shared" si="3"/>
        <v>44256</v>
      </c>
      <c r="I30" s="282">
        <f t="shared" si="3"/>
        <v>5228688</v>
      </c>
      <c r="J30" s="282" t="str">
        <f t="shared" si="3"/>
        <v/>
      </c>
      <c r="K30" s="235" t="s">
        <v>141</v>
      </c>
      <c r="L30" s="23"/>
      <c r="M30" s="23"/>
      <c r="N30" s="22"/>
      <c r="O30" s="22"/>
      <c r="P30" s="25"/>
      <c r="Q30" s="209">
        <f t="shared" ref="Q30:Q60" si="4">SUM(L30:P30)</f>
        <v>0</v>
      </c>
    </row>
    <row r="31" spans="2:17" x14ac:dyDescent="0.2">
      <c r="B31" s="236">
        <v>10</v>
      </c>
      <c r="C31" s="183" t="s">
        <v>27</v>
      </c>
      <c r="D31" s="279">
        <f t="shared" ref="D31:I31" si="5">IF(ISBLANK(D29),"",D29)</f>
        <v>63</v>
      </c>
      <c r="E31" s="283" t="str">
        <f t="shared" si="5"/>
        <v>Telecare - iCARE (Mobile Engagement Team)</v>
      </c>
      <c r="F31" s="284" t="str">
        <f t="shared" si="5"/>
        <v/>
      </c>
      <c r="G31" s="284">
        <f t="shared" si="5"/>
        <v>43734</v>
      </c>
      <c r="H31" s="284">
        <f t="shared" si="5"/>
        <v>44256</v>
      </c>
      <c r="I31" s="235">
        <f t="shared" si="5"/>
        <v>5228688</v>
      </c>
      <c r="J31" s="235" t="str">
        <f t="shared" si="3"/>
        <v/>
      </c>
      <c r="K31" s="235" t="s">
        <v>197</v>
      </c>
      <c r="L31" s="23">
        <f>+'[3]B.2 Summary for Reporting'!$AO$44</f>
        <v>465963.13696362905</v>
      </c>
      <c r="M31" s="23"/>
      <c r="N31" s="22"/>
      <c r="O31" s="22"/>
      <c r="P31" s="25"/>
      <c r="Q31" s="209">
        <f t="shared" si="4"/>
        <v>465963.13696362905</v>
      </c>
    </row>
    <row r="32" spans="2:17" ht="15.75" x14ac:dyDescent="0.25">
      <c r="B32" s="285">
        <v>10</v>
      </c>
      <c r="C32" s="285" t="s">
        <v>202</v>
      </c>
      <c r="D32" s="286">
        <f t="shared" ref="D32:J32" si="6">IF(ISBLANK(D29),"",D29)</f>
        <v>63</v>
      </c>
      <c r="E32" s="287" t="str">
        <f t="shared" si="6"/>
        <v>Telecare - iCARE (Mobile Engagement Team)</v>
      </c>
      <c r="F32" s="288" t="str">
        <f t="shared" si="6"/>
        <v/>
      </c>
      <c r="G32" s="288">
        <f t="shared" si="6"/>
        <v>43734</v>
      </c>
      <c r="H32" s="288">
        <f t="shared" si="6"/>
        <v>44256</v>
      </c>
      <c r="I32" s="289">
        <f t="shared" si="6"/>
        <v>5228688</v>
      </c>
      <c r="J32" s="289" t="str">
        <f t="shared" si="6"/>
        <v/>
      </c>
      <c r="K32" s="239" t="s">
        <v>217</v>
      </c>
      <c r="L32" s="290">
        <f>SUM(L29:L31)</f>
        <v>550434.20831529389</v>
      </c>
      <c r="M32" s="290">
        <f>SUM(M29:M31)</f>
        <v>0</v>
      </c>
      <c r="N32" s="291">
        <f t="shared" ref="N32:P32" si="7">SUM(N29:N31)</f>
        <v>0</v>
      </c>
      <c r="O32" s="291">
        <f t="shared" si="7"/>
        <v>0</v>
      </c>
      <c r="P32" s="292">
        <f t="shared" si="7"/>
        <v>0</v>
      </c>
      <c r="Q32" s="239">
        <f t="shared" si="4"/>
        <v>550434.20831529389</v>
      </c>
    </row>
    <row r="33" spans="2:17" x14ac:dyDescent="0.2">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2">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2">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ht="15.75" x14ac:dyDescent="0.2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2">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2">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2">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ht="15.75" x14ac:dyDescent="0.2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15.7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5" fitToWidth="0" fitToHeight="0"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15.75" x14ac:dyDescent="0.25">
      <c r="A40" s="331" t="s">
        <v>508</v>
      </c>
    </row>
    <row r="41" spans="1:1" ht="15.75" x14ac:dyDescent="0.25">
      <c r="A41" s="331" t="s">
        <v>509</v>
      </c>
    </row>
    <row r="42" spans="1:1" ht="15.75" x14ac:dyDescent="0.25">
      <c r="A42" s="331" t="s">
        <v>510</v>
      </c>
    </row>
    <row r="43" spans="1:1" ht="15.75" x14ac:dyDescent="0.25">
      <c r="A43" s="331" t="s">
        <v>511</v>
      </c>
    </row>
    <row r="44" spans="1:1" ht="15.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60.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topLeftCell="A6" zoomScale="80" zoomScaleNormal="80" zoomScaleSheetLayoutView="55" workbookViewId="0">
      <selection activeCell="J28" sqref="J28"/>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Sutter/Yuba</v>
      </c>
      <c r="F9" s="190" t="s">
        <v>1</v>
      </c>
      <c r="G9" s="298">
        <f>IF(ISBLANK('1. Information'!D9),"",'1. Information'!D9)</f>
        <v>44953</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v>0</v>
      </c>
      <c r="H15" s="109">
        <v>0</v>
      </c>
      <c r="I15" s="109">
        <v>0</v>
      </c>
      <c r="J15" s="109">
        <v>0</v>
      </c>
      <c r="K15" s="204">
        <f>SUM(F15:J15)</f>
        <v>0</v>
      </c>
      <c r="L15"/>
      <c r="M15"/>
    </row>
    <row r="16" spans="1:19" ht="15.75" x14ac:dyDescent="0.25">
      <c r="B16" s="236">
        <v>2</v>
      </c>
      <c r="C16" s="135" t="s">
        <v>14</v>
      </c>
      <c r="D16" s="205"/>
      <c r="E16" s="302"/>
      <c r="F16" s="109"/>
      <c r="G16" s="109"/>
      <c r="H16" s="109"/>
      <c r="I16" s="109"/>
      <c r="J16" s="109"/>
      <c r="K16" s="204">
        <f t="shared" ref="K16:K21" si="0">SUM(F16:J16)</f>
        <v>0</v>
      </c>
      <c r="L16"/>
      <c r="M16"/>
    </row>
    <row r="17" spans="2:19" ht="15.75" x14ac:dyDescent="0.25">
      <c r="B17" s="236">
        <v>3</v>
      </c>
      <c r="C17" s="135" t="s">
        <v>198</v>
      </c>
      <c r="D17" s="205"/>
      <c r="E17" s="302"/>
      <c r="F17" s="109">
        <f>+'[3]B.2 Summary for Reporting'!$AG$45</f>
        <v>2971.9555029294061</v>
      </c>
      <c r="G17" s="109"/>
      <c r="H17" s="109"/>
      <c r="I17" s="109"/>
      <c r="J17" s="109"/>
      <c r="K17" s="204">
        <f t="shared" si="0"/>
        <v>2971.9555029294061</v>
      </c>
      <c r="L17"/>
      <c r="M17"/>
    </row>
    <row r="18" spans="2:19" ht="15.75" x14ac:dyDescent="0.25">
      <c r="B18" s="236">
        <v>4</v>
      </c>
      <c r="C18" s="135" t="s">
        <v>189</v>
      </c>
      <c r="D18" s="205"/>
      <c r="E18" s="302"/>
      <c r="F18" s="109"/>
      <c r="G18" s="235"/>
      <c r="H18" s="235"/>
      <c r="I18" s="235"/>
      <c r="J18" s="235"/>
      <c r="K18" s="204">
        <f>F18</f>
        <v>0</v>
      </c>
      <c r="L18"/>
      <c r="M18"/>
    </row>
    <row r="19" spans="2:19" ht="15.75" x14ac:dyDescent="0.25">
      <c r="B19" s="236">
        <v>5</v>
      </c>
      <c r="C19" s="135" t="s">
        <v>296</v>
      </c>
      <c r="D19" s="205"/>
      <c r="E19" s="302"/>
      <c r="F19" s="109"/>
      <c r="G19" s="235"/>
      <c r="H19" s="235"/>
      <c r="I19" s="235"/>
      <c r="J19" s="235"/>
      <c r="K19" s="204">
        <f>F19</f>
        <v>0</v>
      </c>
      <c r="L19"/>
      <c r="M19"/>
    </row>
    <row r="20" spans="2:19" ht="15.75" x14ac:dyDescent="0.25">
      <c r="B20" s="236">
        <v>6</v>
      </c>
      <c r="C20" s="205" t="s">
        <v>153</v>
      </c>
      <c r="D20" s="208"/>
      <c r="E20" s="206"/>
      <c r="F20" s="282">
        <f>SUM(E28:E32)</f>
        <v>63169.083197378706</v>
      </c>
      <c r="G20" s="303">
        <f t="shared" ref="G20:I20" si="1">SUM(F28:F32)</f>
        <v>0</v>
      </c>
      <c r="H20" s="282">
        <f t="shared" si="1"/>
        <v>0</v>
      </c>
      <c r="I20" s="282">
        <f t="shared" si="1"/>
        <v>0</v>
      </c>
      <c r="J20" s="282">
        <f>SUM(I28:I32)</f>
        <v>2259.61</v>
      </c>
      <c r="K20" s="209">
        <f t="shared" si="0"/>
        <v>65428.693197378707</v>
      </c>
      <c r="L20"/>
      <c r="M20"/>
    </row>
    <row r="21" spans="2:19" ht="30.95" customHeight="1" x14ac:dyDescent="0.25">
      <c r="B21" s="236">
        <v>7</v>
      </c>
      <c r="C21" s="237" t="s">
        <v>188</v>
      </c>
      <c r="D21" s="237"/>
      <c r="E21" s="237"/>
      <c r="F21" s="239">
        <f>SUM(F15:F17,F19:F20)</f>
        <v>66141.038700308112</v>
      </c>
      <c r="G21" s="214">
        <f>SUM(G15:G17,G20)</f>
        <v>0</v>
      </c>
      <c r="H21" s="213">
        <f>SUM(H15:H17,H20)</f>
        <v>0</v>
      </c>
      <c r="I21" s="213">
        <f>SUM(I15:I17,I20)</f>
        <v>0</v>
      </c>
      <c r="J21" s="213">
        <f>SUM(J15:J17,J20)</f>
        <v>2259.61</v>
      </c>
      <c r="K21" s="239">
        <f t="shared" si="0"/>
        <v>68400.648700308113</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t="str">
        <f t="shared" ref="C28:C32" si="2">IF(J28&lt;&gt;0,VLOOKUP($D$9,Info_County_Code,2,FALSE),"")</f>
        <v/>
      </c>
      <c r="D28" s="305" t="s">
        <v>98</v>
      </c>
      <c r="E28" s="22">
        <v>0</v>
      </c>
      <c r="F28" s="23"/>
      <c r="G28" s="22"/>
      <c r="H28" s="22"/>
      <c r="I28" s="108"/>
      <c r="J28" s="235">
        <f>SUM(E28:I28)</f>
        <v>0</v>
      </c>
      <c r="K28"/>
      <c r="L28"/>
      <c r="M28"/>
      <c r="N28"/>
      <c r="O28"/>
      <c r="P28"/>
      <c r="Q28"/>
      <c r="R28"/>
    </row>
    <row r="29" spans="2:19" ht="15.75" x14ac:dyDescent="0.25">
      <c r="B29" s="236">
        <v>9</v>
      </c>
      <c r="C29" s="259">
        <f t="shared" si="2"/>
        <v>63</v>
      </c>
      <c r="D29" s="305" t="s">
        <v>99</v>
      </c>
      <c r="E29" s="22">
        <f>+'[3]B.2 Summary for Reporting'!$AG$44</f>
        <v>63169.083197378706</v>
      </c>
      <c r="F29" s="23"/>
      <c r="G29" s="22"/>
      <c r="H29" s="22"/>
      <c r="I29" s="108">
        <f>-'[3]B.2 Summary for Reporting'!$AG$37</f>
        <v>2259.61</v>
      </c>
      <c r="J29" s="235">
        <f t="shared" ref="J29:J32" si="3">SUM(E29:I29)</f>
        <v>65428.693197378707</v>
      </c>
      <c r="K29"/>
      <c r="L29"/>
      <c r="M29"/>
      <c r="N29"/>
      <c r="O29"/>
      <c r="P29"/>
      <c r="Q29"/>
      <c r="R29"/>
    </row>
    <row r="30" spans="2:19" ht="15.75" x14ac:dyDescent="0.25">
      <c r="B30" s="236">
        <v>10</v>
      </c>
      <c r="C30" s="259" t="str">
        <f t="shared" si="2"/>
        <v/>
      </c>
      <c r="D30" s="184" t="s">
        <v>295</v>
      </c>
      <c r="E30" s="22"/>
      <c r="F30" s="23"/>
      <c r="G30" s="22"/>
      <c r="H30" s="22"/>
      <c r="I30" s="108"/>
      <c r="J30" s="235">
        <f t="shared" si="3"/>
        <v>0</v>
      </c>
      <c r="K30"/>
      <c r="L30"/>
      <c r="M30"/>
      <c r="N30"/>
      <c r="O30"/>
      <c r="P30"/>
      <c r="Q30"/>
      <c r="R30"/>
    </row>
    <row r="31" spans="2:19" ht="15.75" x14ac:dyDescent="0.25">
      <c r="B31" s="236">
        <v>11</v>
      </c>
      <c r="C31" s="259" t="str">
        <f t="shared" si="2"/>
        <v/>
      </c>
      <c r="D31" s="305" t="s">
        <v>101</v>
      </c>
      <c r="E31" s="22"/>
      <c r="F31" s="23"/>
      <c r="G31" s="22"/>
      <c r="H31" s="22"/>
      <c r="I31" s="108"/>
      <c r="J31" s="235">
        <f t="shared" si="3"/>
        <v>0</v>
      </c>
      <c r="K31"/>
      <c r="L31"/>
      <c r="M31"/>
      <c r="N31"/>
      <c r="O31"/>
      <c r="P31"/>
      <c r="Q31"/>
      <c r="R31"/>
    </row>
    <row r="32" spans="2:19" ht="15.75" x14ac:dyDescent="0.2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fitToHeight="0" orientation="landscape" horizontalDpi="1200" verticalDpi="1200"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2" zoomScale="80" zoomScaleNormal="80" zoomScaleSheetLayoutView="40" workbookViewId="0">
      <selection activeCell="J18" sqref="J18"/>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Sutter/Yuba</v>
      </c>
      <c r="E9" s="8"/>
      <c r="F9" s="134" t="s">
        <v>1</v>
      </c>
      <c r="G9" s="226">
        <f>IF(ISBLANK('1. Information'!D9),"",'1. Information'!D9)</f>
        <v>44953</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v>0</v>
      </c>
      <c r="H15" s="109">
        <v>0</v>
      </c>
      <c r="I15" s="109">
        <v>0</v>
      </c>
      <c r="J15" s="109">
        <v>0</v>
      </c>
      <c r="K15" s="278">
        <f>SUM(F15:J15)</f>
        <v>0</v>
      </c>
      <c r="L15"/>
      <c r="M15"/>
      <c r="U15" s="20"/>
      <c r="V15" s="20"/>
      <c r="W15" s="20"/>
    </row>
    <row r="16" spans="1:23" x14ac:dyDescent="0.25">
      <c r="B16" s="236">
        <v>2</v>
      </c>
      <c r="C16" s="134" t="s">
        <v>309</v>
      </c>
      <c r="D16" s="189"/>
      <c r="E16" s="307"/>
      <c r="F16" s="109"/>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v>0</v>
      </c>
      <c r="H17" s="109">
        <v>0</v>
      </c>
      <c r="I17" s="109">
        <v>0</v>
      </c>
      <c r="J17" s="109">
        <v>0</v>
      </c>
      <c r="K17" s="278">
        <f t="shared" si="0"/>
        <v>0</v>
      </c>
      <c r="L17"/>
      <c r="M17"/>
      <c r="U17" s="20"/>
      <c r="V17" s="20"/>
      <c r="W17" s="20"/>
    </row>
    <row r="18" spans="2:23" x14ac:dyDescent="0.2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25">
      <c r="B28" s="236">
        <v>9</v>
      </c>
      <c r="C28" s="259" t="str">
        <f t="shared" si="3"/>
        <v/>
      </c>
      <c r="D28" s="113"/>
      <c r="E28" s="113"/>
      <c r="F28" s="107"/>
      <c r="G28" s="106"/>
      <c r="H28" s="106"/>
      <c r="I28" s="106"/>
      <c r="J28" s="109"/>
      <c r="K28" s="106"/>
      <c r="L28" s="313">
        <f t="shared" ref="L28:L46" si="4">SUM(G28:K28)</f>
        <v>0</v>
      </c>
      <c r="M28"/>
      <c r="U28" s="20"/>
      <c r="V28" s="20"/>
      <c r="W28" s="20"/>
    </row>
    <row r="29" spans="2:23" x14ac:dyDescent="0.25">
      <c r="B29" s="236">
        <v>10</v>
      </c>
      <c r="C29" s="259" t="str">
        <f t="shared" si="3"/>
        <v/>
      </c>
      <c r="D29" s="113"/>
      <c r="E29" s="113"/>
      <c r="F29" s="107"/>
      <c r="G29" s="106"/>
      <c r="H29" s="106"/>
      <c r="I29" s="106"/>
      <c r="J29" s="109"/>
      <c r="K29" s="106"/>
      <c r="L29" s="313">
        <f t="shared" si="4"/>
        <v>0</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15" sqref="G15"/>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Sutter/Yuba</v>
      </c>
      <c r="E9" s="2"/>
      <c r="F9" s="285" t="s">
        <v>156</v>
      </c>
      <c r="G9" s="226">
        <f>IF(ISBLANK('1. Information'!D9),"",'1. Information'!D9)</f>
        <v>44953</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x14ac:dyDescent="0.2">
      <c r="B15" s="236">
        <v>1</v>
      </c>
      <c r="C15" s="259" t="str">
        <f t="shared" ref="C15:C44" si="0">IF(G15&lt;&gt;0,VLOOKUP($D$9,Info_County_Code,2,FALSE),"")</f>
        <v/>
      </c>
      <c r="D15" s="30"/>
      <c r="E15" s="30"/>
      <c r="F15" s="125"/>
      <c r="G15" s="111"/>
      <c r="H15" s="113"/>
    </row>
    <row r="16" spans="1:8" x14ac:dyDescent="0.2">
      <c r="B16" s="236">
        <v>2</v>
      </c>
      <c r="C16" s="259" t="str">
        <f t="shared" si="0"/>
        <v/>
      </c>
      <c r="D16" s="30"/>
      <c r="E16" s="30"/>
      <c r="F16" s="125"/>
      <c r="G16" s="111"/>
      <c r="H16" s="113"/>
    </row>
    <row r="17" spans="2:8" x14ac:dyDescent="0.2">
      <c r="B17" s="236">
        <v>3</v>
      </c>
      <c r="C17" s="259" t="str">
        <f t="shared" si="0"/>
        <v/>
      </c>
      <c r="D17" s="30"/>
      <c r="E17" s="30"/>
      <c r="F17" s="125"/>
      <c r="G17" s="111"/>
      <c r="H17" s="113"/>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x14ac:dyDescent="0.2">
      <c r="B51" s="236">
        <v>31</v>
      </c>
      <c r="C51" s="259" t="str">
        <f t="shared" ref="C51:C80" si="1">IF(F51&lt;&gt;0,VLOOKUP($D$9,Info_County_Code,2,FALSE),"")</f>
        <v/>
      </c>
      <c r="D51" s="319" t="s">
        <v>166</v>
      </c>
      <c r="E51" s="125"/>
      <c r="F51" s="111"/>
      <c r="G51" s="113"/>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Sutter/Yuba</v>
      </c>
      <c r="F9" s="190" t="s">
        <v>1</v>
      </c>
      <c r="G9" s="298">
        <f>IF(ISBLANK('1. Information'!D9),"",'1. Information'!D9)</f>
        <v>44953</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2" sqref="D12"/>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v>44953</v>
      </c>
    </row>
    <row r="10" spans="1:5" ht="34.5" customHeight="1" x14ac:dyDescent="0.2">
      <c r="B10" s="169">
        <v>2</v>
      </c>
      <c r="C10" s="171" t="s">
        <v>303</v>
      </c>
      <c r="D10" s="114" t="s">
        <v>782</v>
      </c>
    </row>
    <row r="11" spans="1:5" ht="34.5" customHeight="1" x14ac:dyDescent="0.2">
      <c r="B11" s="169">
        <v>3</v>
      </c>
      <c r="C11" s="170" t="s">
        <v>0</v>
      </c>
      <c r="D11" s="114" t="s">
        <v>94</v>
      </c>
    </row>
    <row r="12" spans="1:5" ht="34.5" customHeight="1" x14ac:dyDescent="0.2">
      <c r="B12" s="169">
        <v>4</v>
      </c>
      <c r="C12" s="172" t="s">
        <v>113</v>
      </c>
      <c r="D12" s="150">
        <f>IF(ISBLANK(D11),"",VLOOKUP(D11,Info_County_Code,2))</f>
        <v>63</v>
      </c>
    </row>
    <row r="13" spans="1:5" ht="34.5" customHeight="1" x14ac:dyDescent="0.2">
      <c r="B13" s="169">
        <v>5</v>
      </c>
      <c r="C13" s="170" t="s">
        <v>114</v>
      </c>
      <c r="D13" s="351" t="s">
        <v>783</v>
      </c>
    </row>
    <row r="14" spans="1:5" ht="34.5" customHeight="1" x14ac:dyDescent="0.2">
      <c r="B14" s="169">
        <v>6</v>
      </c>
      <c r="C14" s="170" t="s">
        <v>115</v>
      </c>
      <c r="D14" s="114" t="s">
        <v>784</v>
      </c>
    </row>
    <row r="15" spans="1:5" ht="34.5" customHeight="1" x14ac:dyDescent="0.2">
      <c r="B15" s="169">
        <v>7</v>
      </c>
      <c r="C15" s="170" t="s">
        <v>116</v>
      </c>
      <c r="D15" s="143">
        <v>95991</v>
      </c>
    </row>
    <row r="16" spans="1:5" ht="34.5" customHeight="1" x14ac:dyDescent="0.2">
      <c r="B16" s="169">
        <v>8</v>
      </c>
      <c r="C16" s="173" t="s">
        <v>162</v>
      </c>
      <c r="D16" s="151" t="str">
        <f>IF(ISBLANK(D11),"",VLOOKUP(D11,County_Population,5,FALSE))</f>
        <v>No</v>
      </c>
    </row>
    <row r="17" spans="2:4" ht="34.5" customHeight="1" x14ac:dyDescent="0.2">
      <c r="B17" s="169">
        <v>9</v>
      </c>
      <c r="C17" s="170" t="s">
        <v>112</v>
      </c>
      <c r="D17" s="114" t="s">
        <v>785</v>
      </c>
    </row>
    <row r="18" spans="2:4" ht="34.5" customHeight="1" x14ac:dyDescent="0.2">
      <c r="B18" s="169">
        <v>10</v>
      </c>
      <c r="C18" s="174" t="s">
        <v>167</v>
      </c>
      <c r="D18" s="352" t="s">
        <v>786</v>
      </c>
    </row>
    <row r="19" spans="2:4" ht="34.5" customHeight="1" x14ac:dyDescent="0.2">
      <c r="B19" s="169">
        <v>11</v>
      </c>
      <c r="C19" s="174" t="s">
        <v>184</v>
      </c>
      <c r="D19" s="352" t="s">
        <v>787</v>
      </c>
    </row>
    <row r="20" spans="2:4" ht="34.5" customHeight="1" x14ac:dyDescent="0.2">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1" sqref="E21"/>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Sutter/Yuba</v>
      </c>
      <c r="F9" s="190" t="s">
        <v>1</v>
      </c>
      <c r="G9" s="298">
        <f>IF(ISBLANK('1. Information'!D9),"",'1. Information'!D9)</f>
        <v>44953</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Sutter/Yuba</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IF(SUM('A.2 Component Summary'!D27:H27)='A.2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e">
        <f>IF('A.2 Component Summary'!D40*0.05&gt;VLOOKUP(H3,SCO_Distribution,2,FALSE),"ERROR","OK")</f>
        <v>#N/A</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IF(ISBLANK('A.2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IF(ISBLANK('A.2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IF(ISBLANK('A.2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abSelected="1" topLeftCell="A9" zoomScale="80" zoomScaleNormal="80" zoomScaleSheetLayoutView="40" zoomScalePageLayoutView="85" workbookViewId="0">
      <selection activeCell="E37" sqref="E37"/>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Sutter/Yuba</v>
      </c>
      <c r="F9" s="175" t="s">
        <v>1</v>
      </c>
      <c r="G9" s="153">
        <f>IF(ISBLANK('1. Information'!D9),"",'1. Information'!D9)</f>
        <v>44953</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f>-'[3]B.2 Summary for Reporting'!$AC$17</f>
        <v>65661.8527142846</v>
      </c>
      <c r="E14" s="124">
        <f>-'[3]B.2 Summary for Reporting'!$AL$17</f>
        <v>15235.835543579533</v>
      </c>
      <c r="F14" s="124">
        <f>-'[3]B.2 Summary for Reporting'!$AO$17</f>
        <v>4189.5046483351562</v>
      </c>
      <c r="G14" s="124">
        <f>-'[3]B.2 Summary for Reporting'!$AG$17</f>
        <v>480.79709380071068</v>
      </c>
      <c r="H14" s="124">
        <f>-'[4]B.2 Summary for Reporting'!$AE$17</f>
        <v>0</v>
      </c>
      <c r="I14" s="154">
        <f>SUM(D14:H14)</f>
        <v>85567.99</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521836</v>
      </c>
      <c r="G19" s="102"/>
      <c r="H19" s="102"/>
      <c r="I19" s="102"/>
    </row>
    <row r="20" spans="2:10" x14ac:dyDescent="0.2">
      <c r="B20" s="181">
        <v>4</v>
      </c>
      <c r="C20" s="185" t="s">
        <v>22</v>
      </c>
      <c r="D20" s="124">
        <v>0</v>
      </c>
      <c r="E20" s="124">
        <v>0</v>
      </c>
      <c r="F20" s="155">
        <f>-D20-E20</f>
        <v>0</v>
      </c>
      <c r="G20" s="102"/>
      <c r="H20" s="102"/>
      <c r="I20" s="102"/>
    </row>
    <row r="21" spans="2:10" x14ac:dyDescent="0.2">
      <c r="B21" s="181">
        <v>5</v>
      </c>
      <c r="C21" s="185" t="s">
        <v>253</v>
      </c>
      <c r="D21" s="161">
        <f>'A.3 CSS'!F24</f>
        <v>0</v>
      </c>
      <c r="E21" s="159"/>
      <c r="F21" s="154">
        <f>SUM(D21:E21)</f>
        <v>0</v>
      </c>
      <c r="G21" s="102"/>
      <c r="H21" s="102"/>
      <c r="I21" s="102"/>
    </row>
    <row r="22" spans="2:10" x14ac:dyDescent="0.2">
      <c r="B22" s="181">
        <v>6</v>
      </c>
      <c r="C22" s="185" t="s">
        <v>252</v>
      </c>
      <c r="D22" s="160"/>
      <c r="E22" s="160"/>
      <c r="F22" s="154">
        <f>SUM('8. Adjustment (MHSA)'!F51:F80)</f>
        <v>0</v>
      </c>
      <c r="G22" s="102"/>
      <c r="H22" s="102"/>
      <c r="I22" s="102"/>
    </row>
    <row r="23" spans="2:10" x14ac:dyDescent="0.2">
      <c r="B23" s="176">
        <v>7</v>
      </c>
      <c r="C23" s="182" t="s">
        <v>236</v>
      </c>
      <c r="D23" s="160"/>
      <c r="E23" s="160"/>
      <c r="F23" s="156">
        <f>F19+F20+F21+F22</f>
        <v>521836</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0</v>
      </c>
      <c r="E27" s="154">
        <f>'A.3 CSS'!F21</f>
        <v>0</v>
      </c>
      <c r="F27" s="154">
        <f>'A.3 CSS'!F22</f>
        <v>0</v>
      </c>
      <c r="G27" s="161">
        <f>'A.3 CSS'!F23</f>
        <v>0</v>
      </c>
      <c r="H27" s="161">
        <f>'A.3 CSS'!F24</f>
        <v>0</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'A.3 CSS'!F27</f>
        <v>9048048.4538632948</v>
      </c>
      <c r="E31" s="161">
        <f>'A.4 PEI'!F22</f>
        <v>2093804.0560575346</v>
      </c>
      <c r="F31" s="161">
        <f>'5. INN'!F23</f>
        <v>550434.20831529389</v>
      </c>
      <c r="G31" s="161">
        <f>'6. WET'!F21</f>
        <v>66141.038700308112</v>
      </c>
      <c r="H31" s="161">
        <f>'7. CFTN'!F21</f>
        <v>0</v>
      </c>
      <c r="I31" s="161">
        <f t="shared" ref="I31:I35" si="0">SUM(D31:H31)</f>
        <v>11758427.756936433</v>
      </c>
    </row>
    <row r="32" spans="2:10" x14ac:dyDescent="0.2">
      <c r="B32" s="176">
        <v>10</v>
      </c>
      <c r="C32" s="188" t="s">
        <v>4</v>
      </c>
      <c r="D32" s="156">
        <f>'A.3 CSS'!G27</f>
        <v>1779319.59</v>
      </c>
      <c r="E32" s="156">
        <f>'A.4 PEI'!G22</f>
        <v>0</v>
      </c>
      <c r="F32" s="156">
        <f>'5. INN'!G23</f>
        <v>0</v>
      </c>
      <c r="G32" s="156">
        <f>'6. WET'!G21</f>
        <v>0</v>
      </c>
      <c r="H32" s="156">
        <f>'7. CFTN'!G21</f>
        <v>0</v>
      </c>
      <c r="I32" s="161">
        <f t="shared" si="0"/>
        <v>1779319.59</v>
      </c>
    </row>
    <row r="33" spans="2:9" x14ac:dyDescent="0.2">
      <c r="B33" s="176">
        <v>11</v>
      </c>
      <c r="C33" s="188" t="s">
        <v>5</v>
      </c>
      <c r="D33" s="156">
        <f>'A.3 CSS'!H27</f>
        <v>0</v>
      </c>
      <c r="E33" s="156">
        <f>'A.4 PEI'!H22</f>
        <v>0</v>
      </c>
      <c r="F33" s="156">
        <f>'5. INN'!H23</f>
        <v>0</v>
      </c>
      <c r="G33" s="156">
        <f>'6. WET'!H21</f>
        <v>0</v>
      </c>
      <c r="H33" s="156">
        <f>'7. CFTN'!H21</f>
        <v>0</v>
      </c>
      <c r="I33" s="161">
        <f t="shared" si="0"/>
        <v>0</v>
      </c>
    </row>
    <row r="34" spans="2:9" x14ac:dyDescent="0.2">
      <c r="B34" s="176">
        <v>12</v>
      </c>
      <c r="C34" s="188" t="s">
        <v>26</v>
      </c>
      <c r="D34" s="156">
        <f>'A.3 CSS'!I27</f>
        <v>0</v>
      </c>
      <c r="E34" s="156">
        <f>'A.4 PEI'!I22</f>
        <v>0</v>
      </c>
      <c r="F34" s="156">
        <f>'5. INN'!I23</f>
        <v>0</v>
      </c>
      <c r="G34" s="156">
        <f>'6. WET'!I21</f>
        <v>0</v>
      </c>
      <c r="H34" s="156">
        <f>'7. CFTN'!I21</f>
        <v>0</v>
      </c>
      <c r="I34" s="161">
        <f t="shared" si="0"/>
        <v>0</v>
      </c>
    </row>
    <row r="35" spans="2:9" x14ac:dyDescent="0.2">
      <c r="B35" s="176">
        <v>13</v>
      </c>
      <c r="C35" s="188" t="s">
        <v>12</v>
      </c>
      <c r="D35" s="156">
        <f>'A.3 CSS'!J27</f>
        <v>384470.39999999997</v>
      </c>
      <c r="E35" s="156">
        <f>'A.4 PEI'!J22</f>
        <v>24598.09</v>
      </c>
      <c r="F35" s="156">
        <f>'5. INN'!J23</f>
        <v>0</v>
      </c>
      <c r="G35" s="156">
        <f>'6. WET'!J21</f>
        <v>2259.61</v>
      </c>
      <c r="H35" s="156">
        <f>'7. CFTN'!J21</f>
        <v>0</v>
      </c>
      <c r="I35" s="161">
        <f t="shared" si="0"/>
        <v>411328.1</v>
      </c>
    </row>
    <row r="36" spans="2:9" ht="15.75" x14ac:dyDescent="0.25">
      <c r="B36" s="176">
        <v>14</v>
      </c>
      <c r="C36" s="135" t="s">
        <v>21</v>
      </c>
      <c r="D36" s="162">
        <f>SUM(D31:D35)</f>
        <v>11211838.443863295</v>
      </c>
      <c r="E36" s="162">
        <f t="shared" ref="E36:H36" si="1">SUM(E31:E35)</f>
        <v>2118402.1460575345</v>
      </c>
      <c r="F36" s="162">
        <f t="shared" si="1"/>
        <v>550434.20831529389</v>
      </c>
      <c r="G36" s="162">
        <f t="shared" si="1"/>
        <v>68400.648700308113</v>
      </c>
      <c r="H36" s="162">
        <f t="shared" si="1"/>
        <v>0</v>
      </c>
      <c r="I36" s="163">
        <f>SUM(D36:H36)</f>
        <v>13949075.446936432</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'A.3 CSS'!K15+'A.4 PEI'!K15+'5. INN'!K15+'6. WET'!K15+'7. CFTN'!K15</f>
        <v>0</v>
      </c>
      <c r="E40" s="127"/>
      <c r="I40" s="102"/>
    </row>
    <row r="41" spans="2:9" ht="15.75" x14ac:dyDescent="0.25">
      <c r="B41" s="176">
        <v>16</v>
      </c>
      <c r="C41" s="134" t="s">
        <v>19</v>
      </c>
      <c r="D41" s="164">
        <f>'A.3 CSS'!F16+'A.4 PEI'!F16+'5. INN'!F20+'6. WET'!F16+'7. CFTN'!F16</f>
        <v>0</v>
      </c>
      <c r="E41" s="104"/>
      <c r="I41" s="102"/>
    </row>
    <row r="42" spans="2:9" ht="15.75" x14ac:dyDescent="0.25">
      <c r="B42" s="176">
        <v>17</v>
      </c>
      <c r="C42" s="134" t="s">
        <v>20</v>
      </c>
      <c r="D42" s="165">
        <f>'A.3 CSS'!F17+'A.4 PEI'!F17+'5. INN'!F16+'5. INN'!F19+'6. WET'!F17+'7. CFTN'!F17</f>
        <v>666079.71135166497</v>
      </c>
      <c r="E42" s="104"/>
      <c r="I42" s="102"/>
    </row>
    <row r="43" spans="2:9" ht="15.75" x14ac:dyDescent="0.25">
      <c r="B43" s="176">
        <v>18</v>
      </c>
      <c r="C43" s="189" t="s">
        <v>243</v>
      </c>
      <c r="D43" s="124">
        <v>0</v>
      </c>
    </row>
    <row r="44" spans="2:9" ht="15.75" x14ac:dyDescent="0.25">
      <c r="B44" s="176">
        <v>19</v>
      </c>
      <c r="C44" s="134" t="s">
        <v>244</v>
      </c>
      <c r="D44" s="166">
        <f>'A.4 PEI'!F18</f>
        <v>0</v>
      </c>
    </row>
    <row r="45" spans="2:9" ht="15.75" x14ac:dyDescent="0.25">
      <c r="B45" s="176">
        <v>20</v>
      </c>
      <c r="C45" s="189" t="s">
        <v>245</v>
      </c>
      <c r="D45" s="124">
        <v>0</v>
      </c>
    </row>
    <row r="46" spans="2:9" ht="15.75" x14ac:dyDescent="0.25">
      <c r="B46" s="176">
        <v>21</v>
      </c>
      <c r="C46" s="134" t="s">
        <v>249</v>
      </c>
      <c r="D46" s="124">
        <f>+'[5]D.1 PIVOT SVC Code Breakout'!$E$43</f>
        <v>49617.792000000016</v>
      </c>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2" fitToHeight="0" orientation="landscape" horizontalDpi="1200" verticalDpi="1200"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6" zoomScaleNormal="100" workbookViewId="0">
      <selection activeCell="A4" sqref="A4"/>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3"/>
  <sheetViews>
    <sheetView showGridLines="0" topLeftCell="A17" zoomScale="90" zoomScaleNormal="90" zoomScaleSheetLayoutView="40" zoomScalePageLayoutView="70" workbookViewId="0">
      <selection activeCell="H39" sqref="H39"/>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Sutter/Yuba</v>
      </c>
      <c r="F9" s="190" t="s">
        <v>1</v>
      </c>
      <c r="G9" s="191">
        <f>IF(ISBLANK('1. Information'!D9),"",'1. Information'!D9)</f>
        <v>44953</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0</v>
      </c>
      <c r="G15" s="109"/>
      <c r="H15" s="109"/>
      <c r="I15" s="109"/>
      <c r="J15" s="109"/>
      <c r="K15" s="204">
        <f>SUM(F15:J15)</f>
        <v>0</v>
      </c>
      <c r="L15"/>
    </row>
    <row r="16" spans="1:12" ht="15" customHeight="1" x14ac:dyDescent="0.25">
      <c r="B16" s="183">
        <v>2</v>
      </c>
      <c r="C16" s="135" t="s">
        <v>7</v>
      </c>
      <c r="D16" s="205"/>
      <c r="E16" s="206"/>
      <c r="F16" s="109"/>
      <c r="G16" s="109"/>
      <c r="H16" s="109"/>
      <c r="I16" s="109"/>
      <c r="J16" s="109"/>
      <c r="K16" s="204">
        <f t="shared" ref="K16:K17" si="0">SUM(F16:J16)</f>
        <v>0</v>
      </c>
      <c r="L16"/>
    </row>
    <row r="17" spans="2:12" ht="15.75" customHeight="1" x14ac:dyDescent="0.25">
      <c r="B17" s="183">
        <v>3</v>
      </c>
      <c r="C17" s="135" t="s">
        <v>117</v>
      </c>
      <c r="D17" s="205"/>
      <c r="E17" s="206"/>
      <c r="F17" s="109">
        <f>+'[3]B.2 Summary for Reporting'!$AC$45</f>
        <v>486578.8441370916</v>
      </c>
      <c r="G17" s="109"/>
      <c r="H17" s="109"/>
      <c r="I17" s="109"/>
      <c r="J17" s="109"/>
      <c r="K17" s="204">
        <f t="shared" si="0"/>
        <v>486578.8441370916</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c r="G22" s="209"/>
      <c r="H22" s="209"/>
      <c r="I22" s="209"/>
      <c r="J22" s="209"/>
      <c r="K22" s="204">
        <f t="shared" si="1"/>
        <v>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c r="G24" s="209"/>
      <c r="H24" s="209"/>
      <c r="I24" s="209"/>
      <c r="J24" s="209"/>
      <c r="K24" s="204">
        <f t="shared" si="1"/>
        <v>0</v>
      </c>
      <c r="L24"/>
    </row>
    <row r="25" spans="2:12" ht="15.75" customHeight="1" x14ac:dyDescent="0.25">
      <c r="B25" s="183">
        <v>11</v>
      </c>
      <c r="C25" s="135" t="s">
        <v>123</v>
      </c>
      <c r="D25" s="205"/>
      <c r="E25" s="206"/>
      <c r="F25" s="207">
        <f>SUM(G34:G133)</f>
        <v>8561469.6097262036</v>
      </c>
      <c r="G25" s="209">
        <f>SUM(H34:H133)</f>
        <v>1779319.59</v>
      </c>
      <c r="H25" s="209">
        <f>SUM(I34:I133)</f>
        <v>0</v>
      </c>
      <c r="I25" s="209">
        <f>SUM(J34:J133)</f>
        <v>0</v>
      </c>
      <c r="J25" s="209">
        <f>SUM(K34:K133)</f>
        <v>384470.39999999997</v>
      </c>
      <c r="K25" s="209">
        <f>SUM(F25:J25)</f>
        <v>10725259.599726204</v>
      </c>
      <c r="L25"/>
    </row>
    <row r="26" spans="2:12" ht="30.95" customHeight="1" x14ac:dyDescent="0.25">
      <c r="B26" s="183">
        <v>12</v>
      </c>
      <c r="C26" s="210" t="s">
        <v>190</v>
      </c>
      <c r="D26" s="211"/>
      <c r="E26" s="212"/>
      <c r="F26" s="213">
        <f t="shared" ref="F26" si="2">SUM(F15:F17,F19:F25)</f>
        <v>9048048.4538632948</v>
      </c>
      <c r="G26" s="213">
        <f>SUM(G15:G17,G25)</f>
        <v>1779319.59</v>
      </c>
      <c r="H26" s="214">
        <f>SUM(H15:H17,H25)</f>
        <v>0</v>
      </c>
      <c r="I26" s="213">
        <f>SUM(I15:I17,I25)</f>
        <v>0</v>
      </c>
      <c r="J26" s="213">
        <f>SUM(J15:J17,J25)</f>
        <v>384470.39999999997</v>
      </c>
      <c r="K26" s="213">
        <f>SUM(F26:J26)</f>
        <v>11211838.443863295</v>
      </c>
      <c r="L26"/>
    </row>
    <row r="27" spans="2:12" ht="30.95" customHeight="1" x14ac:dyDescent="0.25">
      <c r="B27" s="183">
        <v>13</v>
      </c>
      <c r="C27" s="215" t="s">
        <v>675</v>
      </c>
      <c r="D27" s="215"/>
      <c r="E27" s="215"/>
      <c r="F27" s="213">
        <f>SUM(F15:F17,F19,F20,F25)</f>
        <v>9048048.4538632948</v>
      </c>
      <c r="G27" s="213">
        <f>SUM(G15:G17,G25)</f>
        <v>1779319.59</v>
      </c>
      <c r="H27" s="213">
        <f t="shared" ref="H27:J27" si="3">SUM(H15:H17,H25)</f>
        <v>0</v>
      </c>
      <c r="I27" s="213">
        <f t="shared" si="3"/>
        <v>0</v>
      </c>
      <c r="J27" s="213">
        <f t="shared" si="3"/>
        <v>384470.39999999997</v>
      </c>
      <c r="K27" s="213">
        <f>SUM(F27:J27)</f>
        <v>11211838.443863295</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ht="45.75" x14ac:dyDescent="0.25">
      <c r="B34" s="224">
        <v>14</v>
      </c>
      <c r="C34" s="225">
        <f t="shared" ref="C34:C65" si="4">IF(L34&lt;&gt;0,VLOOKUP($D$9,Info_County_Code,2,FALSE),"")</f>
        <v>63</v>
      </c>
      <c r="D34" s="113" t="s">
        <v>804</v>
      </c>
      <c r="E34" s="113" t="s">
        <v>789</v>
      </c>
      <c r="F34" s="107" t="s">
        <v>95</v>
      </c>
      <c r="G34" s="106">
        <f>+'[3]B.2 Summary for Reporting'!$K$38</f>
        <v>2000630.4047717149</v>
      </c>
      <c r="H34" s="106">
        <f>-'[3]B.2 Summary for Reporting'!$K$34</f>
        <v>1246609.54</v>
      </c>
      <c r="I34" s="106"/>
      <c r="J34" s="109"/>
      <c r="K34" s="106">
        <f>-'[3]B.2 Summary for Reporting'!$K$37</f>
        <v>167925.06</v>
      </c>
      <c r="L34" s="209">
        <f>SUM(G34:K34)</f>
        <v>3415165.004771715</v>
      </c>
    </row>
    <row r="35" spans="2:12" x14ac:dyDescent="0.25">
      <c r="B35" s="224">
        <v>15</v>
      </c>
      <c r="C35" s="225">
        <f t="shared" si="4"/>
        <v>63</v>
      </c>
      <c r="D35" s="113" t="s">
        <v>802</v>
      </c>
      <c r="E35" s="113" t="s">
        <v>790</v>
      </c>
      <c r="F35" s="107" t="s">
        <v>96</v>
      </c>
      <c r="G35" s="106">
        <f>+'[3]B.2 Summary for Reporting'!$N$38</f>
        <v>960686.13882501994</v>
      </c>
      <c r="H35" s="106">
        <f>+'[3]B.2 Summary for Reporting'!$N$34</f>
        <v>0</v>
      </c>
      <c r="I35" s="106"/>
      <c r="J35" s="109"/>
      <c r="K35" s="106">
        <f>-'[3]B.2 Summary for Reporting'!$N$37</f>
        <v>5226.88</v>
      </c>
      <c r="L35" s="209">
        <f t="shared" ref="L35:L98" si="5">SUM(G35:K35)</f>
        <v>965913.01882501994</v>
      </c>
    </row>
    <row r="36" spans="2:12" ht="45.75" x14ac:dyDescent="0.25">
      <c r="B36" s="224">
        <v>16</v>
      </c>
      <c r="C36" s="225">
        <f t="shared" si="4"/>
        <v>63</v>
      </c>
      <c r="D36" s="113" t="s">
        <v>791</v>
      </c>
      <c r="E36" s="113" t="s">
        <v>792</v>
      </c>
      <c r="F36" s="107" t="s">
        <v>95</v>
      </c>
      <c r="G36" s="106">
        <f>+'[3]B.2 Summary for Reporting'!$Q$38</f>
        <v>1672949.9391557314</v>
      </c>
      <c r="H36" s="106">
        <f>-'[3]B.2 Summary for Reporting'!$Q$34</f>
        <v>119885.52</v>
      </c>
      <c r="I36" s="106"/>
      <c r="J36" s="109"/>
      <c r="K36" s="106">
        <f>-'[3]B.2 Summary for Reporting'!$Q$37</f>
        <v>74106.31</v>
      </c>
      <c r="L36" s="209">
        <f t="shared" si="5"/>
        <v>1866941.7691557314</v>
      </c>
    </row>
    <row r="37" spans="2:12" ht="30.75" x14ac:dyDescent="0.25">
      <c r="B37" s="224">
        <v>17</v>
      </c>
      <c r="C37" s="225">
        <f t="shared" si="4"/>
        <v>63</v>
      </c>
      <c r="D37" s="113" t="s">
        <v>805</v>
      </c>
      <c r="E37" s="113" t="s">
        <v>793</v>
      </c>
      <c r="F37" s="107" t="s">
        <v>96</v>
      </c>
      <c r="G37" s="106">
        <f>+'[3]B.2 Summary for Reporting'!$T$38</f>
        <v>2712508.0693791946</v>
      </c>
      <c r="H37" s="106">
        <f>-'[3]B.2 Summary for Reporting'!$T$34</f>
        <v>277642.78999999998</v>
      </c>
      <c r="I37" s="106"/>
      <c r="J37" s="109"/>
      <c r="K37" s="106">
        <f>-'[3]B.2 Summary for Reporting'!$T$37</f>
        <v>103887.73</v>
      </c>
      <c r="L37" s="209">
        <f t="shared" si="5"/>
        <v>3094038.5893791947</v>
      </c>
    </row>
    <row r="38" spans="2:12" ht="30.75" x14ac:dyDescent="0.25">
      <c r="B38" s="224">
        <v>18</v>
      </c>
      <c r="C38" s="225">
        <f t="shared" si="4"/>
        <v>63</v>
      </c>
      <c r="D38" s="113" t="s">
        <v>803</v>
      </c>
      <c r="E38" s="113" t="s">
        <v>794</v>
      </c>
      <c r="F38" s="107" t="s">
        <v>96</v>
      </c>
      <c r="G38" s="106">
        <f>+'[3]B.2 Summary for Reporting'!$W$38</f>
        <v>1214695.0575945424</v>
      </c>
      <c r="H38" s="106">
        <f>-'[3]B.2 Summary for Reporting'!$W$34</f>
        <v>135181.74</v>
      </c>
      <c r="I38" s="106"/>
      <c r="J38" s="109"/>
      <c r="K38" s="106">
        <f>-'[3]B.2 Summary for Reporting'!$W$37</f>
        <v>33324.42</v>
      </c>
      <c r="L38" s="209">
        <f t="shared" si="5"/>
        <v>1383201.2175945423</v>
      </c>
    </row>
    <row r="39" spans="2:12" x14ac:dyDescent="0.25">
      <c r="B39" s="224">
        <v>19</v>
      </c>
      <c r="C39" s="225" t="str">
        <f t="shared" si="4"/>
        <v/>
      </c>
      <c r="D39" s="113"/>
      <c r="E39" s="113"/>
      <c r="F39" s="107"/>
      <c r="G39" s="106"/>
      <c r="H39" s="106"/>
      <c r="I39" s="106"/>
      <c r="J39" s="109"/>
      <c r="K39" s="106"/>
      <c r="L39" s="209">
        <f t="shared" si="5"/>
        <v>0</v>
      </c>
    </row>
    <row r="40" spans="2:12" x14ac:dyDescent="0.25">
      <c r="B40" s="224">
        <v>20</v>
      </c>
      <c r="C40" s="225" t="str">
        <f t="shared" si="4"/>
        <v/>
      </c>
      <c r="D40" s="113"/>
      <c r="E40" s="113"/>
      <c r="F40" s="107"/>
      <c r="G40" s="106"/>
      <c r="H40" s="106"/>
      <c r="I40" s="106"/>
      <c r="J40" s="109"/>
      <c r="K40" s="106"/>
      <c r="L40" s="209">
        <f t="shared" si="5"/>
        <v>0</v>
      </c>
    </row>
    <row r="41" spans="2:12" x14ac:dyDescent="0.25">
      <c r="B41" s="224">
        <v>21</v>
      </c>
      <c r="C41" s="225" t="str">
        <f t="shared" si="4"/>
        <v/>
      </c>
      <c r="D41" s="113"/>
      <c r="E41" s="113"/>
      <c r="F41" s="107"/>
      <c r="G41" s="106"/>
      <c r="H41" s="106"/>
      <c r="I41" s="106"/>
      <c r="J41" s="109"/>
      <c r="K41" s="106"/>
      <c r="L41" s="209">
        <f t="shared" si="5"/>
        <v>0</v>
      </c>
    </row>
    <row r="42" spans="2:12" x14ac:dyDescent="0.25">
      <c r="B42" s="224">
        <v>22</v>
      </c>
      <c r="C42" s="225" t="str">
        <f t="shared" si="4"/>
        <v/>
      </c>
      <c r="D42" s="113"/>
      <c r="E42" s="113"/>
      <c r="F42" s="107"/>
      <c r="G42" s="106"/>
      <c r="H42" s="106"/>
      <c r="I42" s="106"/>
      <c r="J42" s="109"/>
      <c r="K42" s="106"/>
      <c r="L42" s="209">
        <f t="shared" si="5"/>
        <v>0</v>
      </c>
    </row>
    <row r="43" spans="2:12" x14ac:dyDescent="0.25">
      <c r="B43" s="224">
        <v>23</v>
      </c>
      <c r="C43" s="225" t="str">
        <f t="shared" si="4"/>
        <v/>
      </c>
      <c r="D43" s="113"/>
      <c r="E43" s="113"/>
      <c r="F43" s="107"/>
      <c r="G43" s="106"/>
      <c r="H43" s="106"/>
      <c r="I43" s="106"/>
      <c r="J43" s="109"/>
      <c r="K43" s="106"/>
      <c r="L43" s="209">
        <f t="shared" si="5"/>
        <v>0</v>
      </c>
    </row>
    <row r="44" spans="2:12" x14ac:dyDescent="0.25">
      <c r="B44" s="224">
        <v>24</v>
      </c>
      <c r="C44" s="225" t="str">
        <f t="shared" si="4"/>
        <v/>
      </c>
      <c r="D44" s="113"/>
      <c r="E44" s="113"/>
      <c r="F44" s="107"/>
      <c r="G44" s="106"/>
      <c r="H44" s="106"/>
      <c r="I44" s="106"/>
      <c r="J44" s="109"/>
      <c r="K44" s="106"/>
      <c r="L44" s="209">
        <f t="shared" si="5"/>
        <v>0</v>
      </c>
    </row>
    <row r="45" spans="2:12" x14ac:dyDescent="0.25">
      <c r="B45" s="224">
        <v>25</v>
      </c>
      <c r="C45" s="225" t="str">
        <f t="shared" si="4"/>
        <v/>
      </c>
      <c r="D45" s="113"/>
      <c r="E45" s="113"/>
      <c r="F45" s="107"/>
      <c r="G45" s="106"/>
      <c r="H45" s="106"/>
      <c r="I45" s="106"/>
      <c r="J45" s="109"/>
      <c r="K45" s="106"/>
      <c r="L45" s="209">
        <f t="shared" si="5"/>
        <v>0</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79" yWindow="417"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16"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F8" zoomScale="80" zoomScaleNormal="80" zoomScaleSheetLayoutView="40" zoomScalePageLayoutView="80" workbookViewId="0">
      <selection activeCell="M37" sqref="M37"/>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Sutter/Yuba</v>
      </c>
      <c r="E9" s="20" t="str">
        <f>IF(ISBLANK('1. Information'!D11),"",'1. Information'!D11)</f>
        <v>Sutter/Yuba</v>
      </c>
      <c r="F9" s="190" t="s">
        <v>1</v>
      </c>
      <c r="G9" s="226">
        <f>IF(ISBLANK('1. Information'!D9),"",'1. Information'!D9)</f>
        <v>44953</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0</v>
      </c>
      <c r="G15" s="109"/>
      <c r="H15" s="109"/>
      <c r="I15" s="109"/>
      <c r="J15" s="109"/>
      <c r="K15" s="204">
        <f>SUM(F15:J15)</f>
        <v>0</v>
      </c>
      <c r="L15"/>
      <c r="M15"/>
      <c r="N15"/>
      <c r="O15"/>
      <c r="P15"/>
      <c r="Q15"/>
      <c r="AL15" s="20"/>
      <c r="AM15" s="20"/>
      <c r="AN15" s="20"/>
    </row>
    <row r="16" spans="1:40" ht="15" customHeight="1" x14ac:dyDescent="0.25">
      <c r="B16" s="183">
        <v>2</v>
      </c>
      <c r="C16" s="135" t="s">
        <v>119</v>
      </c>
      <c r="D16" s="205"/>
      <c r="E16" s="208"/>
      <c r="F16" s="109"/>
      <c r="G16" s="109"/>
      <c r="H16" s="109"/>
      <c r="I16" s="109"/>
      <c r="J16" s="109"/>
      <c r="K16" s="204">
        <f t="shared" ref="K16:K22" si="0">SUM(F16:J16)</f>
        <v>0</v>
      </c>
      <c r="L16"/>
      <c r="M16"/>
      <c r="N16"/>
      <c r="O16"/>
      <c r="P16"/>
      <c r="Q16"/>
      <c r="AL16" s="20"/>
      <c r="AM16" s="20"/>
      <c r="AN16" s="20"/>
    </row>
    <row r="17" spans="2:40" ht="15" customHeight="1" x14ac:dyDescent="0.25">
      <c r="B17" s="183">
        <v>3</v>
      </c>
      <c r="C17" s="135" t="s">
        <v>131</v>
      </c>
      <c r="D17" s="205"/>
      <c r="E17" s="208"/>
      <c r="F17" s="109">
        <f>+'[3]B.2 Summary for Reporting'!$AL$45</f>
        <v>92057.840359979076</v>
      </c>
      <c r="G17" s="109"/>
      <c r="H17" s="109"/>
      <c r="I17" s="109"/>
      <c r="J17" s="109"/>
      <c r="K17" s="204">
        <f t="shared" si="0"/>
        <v>92057.840359979076</v>
      </c>
      <c r="L17"/>
      <c r="M17"/>
      <c r="N17"/>
      <c r="O17"/>
      <c r="P17"/>
      <c r="Q17"/>
      <c r="AL17" s="20"/>
      <c r="AM17" s="20"/>
      <c r="AN17" s="20"/>
    </row>
    <row r="18" spans="2:40" ht="15" customHeight="1" x14ac:dyDescent="0.2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2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2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2001746.2156975556</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24598.09</v>
      </c>
      <c r="K21" s="209">
        <f t="shared" si="0"/>
        <v>2026344.3056975557</v>
      </c>
      <c r="L21"/>
      <c r="M21"/>
      <c r="N21"/>
      <c r="O21"/>
      <c r="P21"/>
      <c r="Q21"/>
      <c r="AL21" s="20"/>
      <c r="AM21" s="20"/>
      <c r="AN21" s="20"/>
    </row>
    <row r="22" spans="2:40" ht="30.95" customHeight="1" x14ac:dyDescent="0.25">
      <c r="B22" s="236">
        <v>8</v>
      </c>
      <c r="C22" s="237" t="s">
        <v>304</v>
      </c>
      <c r="D22" s="177"/>
      <c r="E22" s="238"/>
      <c r="F22" s="239">
        <f>SUM(F15:F17,F20:F21)</f>
        <v>2093804.0560575346</v>
      </c>
      <c r="G22" s="239">
        <f t="shared" ref="G22:J22" si="2">SUM(G15:G17,G20:G21)</f>
        <v>0</v>
      </c>
      <c r="H22" s="239">
        <f t="shared" si="2"/>
        <v>0</v>
      </c>
      <c r="I22" s="239">
        <f t="shared" si="2"/>
        <v>0</v>
      </c>
      <c r="J22" s="239">
        <f t="shared" si="2"/>
        <v>24598.09</v>
      </c>
      <c r="K22" s="239">
        <f t="shared" si="0"/>
        <v>2118402.1460575345</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0.85682603135307678</v>
      </c>
      <c r="F28" s="15"/>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63</v>
      </c>
      <c r="D34" s="113" t="s">
        <v>795</v>
      </c>
      <c r="E34" s="113"/>
      <c r="F34" s="123" t="s">
        <v>125</v>
      </c>
      <c r="G34" s="123" t="s">
        <v>122</v>
      </c>
      <c r="H34" s="24"/>
      <c r="I34" s="27">
        <v>1</v>
      </c>
      <c r="J34" s="27">
        <f>+'[4]B.1 PEI'!$Z$9</f>
        <v>1</v>
      </c>
      <c r="K34" s="260">
        <f>IF(OR(G34="Combined Summary",F34="Standalone"),(SUMPRODUCT(--(D$34:D$133=D34),I$34:I$133,J$34:J$133)),"")</f>
        <v>1</v>
      </c>
      <c r="L34" s="106">
        <f>+'[3]B.1 PEI'!$S$9</f>
        <v>695.58131667631642</v>
      </c>
      <c r="M34" s="112"/>
      <c r="N34" s="22"/>
      <c r="O34" s="22"/>
      <c r="P34" s="22"/>
      <c r="Q34" s="261">
        <f>SUM(L34:P34)</f>
        <v>695.58131667631642</v>
      </c>
      <c r="R34" s="146">
        <f>IF(OR(G34="Combined Summary",F34="Standalone"),(SUMIF(D$34:D$133,D34,I$34:I$133)),"")</f>
        <v>1</v>
      </c>
      <c r="S34" s="147" t="str">
        <f>IF(AND(F34="Standalone",NOT(R34=1)),"ERROR",IF(AND(G34="Combined Summary",NOT(R34=1)),"ERROR",""))</f>
        <v/>
      </c>
      <c r="T34" s="145"/>
      <c r="AL34" s="20"/>
      <c r="AM34" s="20"/>
      <c r="AN34" s="20"/>
    </row>
    <row r="35" spans="2:40" ht="30.75" x14ac:dyDescent="0.25">
      <c r="B35" s="236">
        <v>11</v>
      </c>
      <c r="C35" s="259">
        <f t="shared" si="3"/>
        <v>63</v>
      </c>
      <c r="D35" s="113" t="s">
        <v>796</v>
      </c>
      <c r="E35" s="113"/>
      <c r="F35" s="123" t="s">
        <v>125</v>
      </c>
      <c r="G35" s="123" t="s">
        <v>127</v>
      </c>
      <c r="H35" s="24"/>
      <c r="I35" s="27">
        <v>1</v>
      </c>
      <c r="J35" s="27">
        <f>+'[4]B.1 PEI'!$Z$13</f>
        <v>0.15</v>
      </c>
      <c r="K35" s="260">
        <f t="shared" ref="K35:K98" si="4">IF(OR(G35="Combined Summary",F35="Standalone"),(SUMPRODUCT(--(D$34:D$133=D35),I$34:I$133,J$34:J$133)),"")</f>
        <v>0.15</v>
      </c>
      <c r="L35" s="106">
        <f>+'[3]B.1 PEI'!$S$13</f>
        <v>47763.250411773726</v>
      </c>
      <c r="M35" s="112"/>
      <c r="N35" s="22"/>
      <c r="O35" s="22"/>
      <c r="P35" s="22"/>
      <c r="Q35" s="261">
        <f t="shared" ref="Q35:Q98" si="5">SUM(L35:P35)</f>
        <v>47763.250411773726</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25">
      <c r="B36" s="236">
        <v>12</v>
      </c>
      <c r="C36" s="259">
        <f t="shared" si="3"/>
        <v>63</v>
      </c>
      <c r="D36" s="113" t="s">
        <v>797</v>
      </c>
      <c r="E36" s="113"/>
      <c r="F36" s="123" t="s">
        <v>125</v>
      </c>
      <c r="G36" s="123" t="s">
        <v>121</v>
      </c>
      <c r="H36" s="24"/>
      <c r="I36" s="27">
        <v>1</v>
      </c>
      <c r="J36" s="27">
        <f>+'[4]B.1 PEI'!$Z$24</f>
        <v>1</v>
      </c>
      <c r="K36" s="260">
        <f t="shared" si="4"/>
        <v>1</v>
      </c>
      <c r="L36" s="106">
        <f>+'[3]B.1 PEI'!$S$24</f>
        <v>230121.48560041466</v>
      </c>
      <c r="M36" s="112"/>
      <c r="N36" s="22"/>
      <c r="O36" s="22"/>
      <c r="P36" s="22"/>
      <c r="Q36" s="261">
        <f t="shared" si="5"/>
        <v>230121.48560041466</v>
      </c>
      <c r="R36" s="146">
        <f t="shared" si="6"/>
        <v>1</v>
      </c>
      <c r="S36" s="148" t="str">
        <f t="shared" si="7"/>
        <v/>
      </c>
      <c r="AL36" s="20"/>
      <c r="AM36" s="20"/>
      <c r="AN36" s="20"/>
    </row>
    <row r="37" spans="2:40" x14ac:dyDescent="0.25">
      <c r="B37" s="236">
        <v>13</v>
      </c>
      <c r="C37" s="259">
        <f t="shared" si="3"/>
        <v>63</v>
      </c>
      <c r="D37" s="113" t="s">
        <v>798</v>
      </c>
      <c r="E37" s="113"/>
      <c r="F37" s="123" t="s">
        <v>125</v>
      </c>
      <c r="G37" s="123" t="s">
        <v>130</v>
      </c>
      <c r="H37" s="24"/>
      <c r="I37" s="27">
        <v>1</v>
      </c>
      <c r="J37" s="27">
        <f>+'[4]B.1 PEI'!$Z$30</f>
        <v>0.90532063706075672</v>
      </c>
      <c r="K37" s="260">
        <f t="shared" si="4"/>
        <v>0.90532063706075672</v>
      </c>
      <c r="L37" s="106">
        <f>+'[3]B.1 PEI'!$S$30</f>
        <v>1351145.8241663077</v>
      </c>
      <c r="M37" s="112"/>
      <c r="N37" s="22"/>
      <c r="O37" s="22"/>
      <c r="P37" s="22">
        <f>-'[4]B.2 Summary for Reporting'!$AL$37</f>
        <v>24598.09</v>
      </c>
      <c r="Q37" s="261">
        <f t="shared" si="5"/>
        <v>1375743.9141663078</v>
      </c>
      <c r="R37" s="146">
        <f t="shared" si="6"/>
        <v>1</v>
      </c>
      <c r="S37" s="148" t="str">
        <f t="shared" si="7"/>
        <v/>
      </c>
      <c r="AL37" s="20"/>
      <c r="AM37" s="20"/>
      <c r="AN37" s="20"/>
    </row>
    <row r="38" spans="2:40" ht="30.75" x14ac:dyDescent="0.25">
      <c r="B38" s="236">
        <v>14</v>
      </c>
      <c r="C38" s="259">
        <f t="shared" si="3"/>
        <v>63</v>
      </c>
      <c r="D38" s="113" t="s">
        <v>799</v>
      </c>
      <c r="E38" s="113"/>
      <c r="F38" s="123" t="s">
        <v>125</v>
      </c>
      <c r="G38" s="123" t="s">
        <v>118</v>
      </c>
      <c r="H38" s="24"/>
      <c r="I38" s="27">
        <v>1</v>
      </c>
      <c r="J38" s="27">
        <f>+'[4]B.1 PEI'!$Z$34</f>
        <v>0.64143920595533499</v>
      </c>
      <c r="K38" s="260">
        <f t="shared" si="4"/>
        <v>0.64143920595533499</v>
      </c>
      <c r="L38" s="106">
        <f>+'[3]B.1 PEI'!$S$34</f>
        <v>93439.756873518505</v>
      </c>
      <c r="M38" s="112"/>
      <c r="N38" s="22"/>
      <c r="O38" s="22"/>
      <c r="P38" s="22"/>
      <c r="Q38" s="261">
        <f t="shared" si="5"/>
        <v>93439.756873518505</v>
      </c>
      <c r="R38" s="146">
        <f t="shared" si="6"/>
        <v>1</v>
      </c>
      <c r="S38" s="148" t="str">
        <f t="shared" si="7"/>
        <v/>
      </c>
      <c r="AL38" s="20"/>
      <c r="AM38" s="20"/>
      <c r="AN38" s="20"/>
    </row>
    <row r="39" spans="2:40" x14ac:dyDescent="0.25">
      <c r="B39" s="236">
        <v>15</v>
      </c>
      <c r="C39" s="259">
        <f t="shared" si="3"/>
        <v>63</v>
      </c>
      <c r="D39" s="113" t="s">
        <v>800</v>
      </c>
      <c r="E39" s="113"/>
      <c r="F39" s="123" t="s">
        <v>125</v>
      </c>
      <c r="G39" s="123" t="s">
        <v>129</v>
      </c>
      <c r="H39" s="24"/>
      <c r="I39" s="27">
        <v>1</v>
      </c>
      <c r="J39" s="27">
        <f>+'[4]B.1 PEI'!$Z$40</f>
        <v>0.97956720765709537</v>
      </c>
      <c r="K39" s="260">
        <f t="shared" si="4"/>
        <v>0.97956720765709537</v>
      </c>
      <c r="L39" s="106">
        <f>+'[3]B.1 PEI'!$S$40</f>
        <v>278580.31732886471</v>
      </c>
      <c r="M39" s="112"/>
      <c r="N39" s="22"/>
      <c r="O39" s="22"/>
      <c r="P39" s="22"/>
      <c r="Q39" s="261">
        <f t="shared" si="5"/>
        <v>278580.31732886471</v>
      </c>
      <c r="R39" s="146">
        <f t="shared" si="6"/>
        <v>1</v>
      </c>
      <c r="S39" s="148" t="str">
        <f t="shared" si="7"/>
        <v/>
      </c>
      <c r="AL39" s="20"/>
      <c r="AM39" s="20"/>
      <c r="AN39" s="20"/>
    </row>
    <row r="40" spans="2:40" x14ac:dyDescent="0.2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2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2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2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2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2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2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2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2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2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2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2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2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2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2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2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2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2" orientation="landscape" horizontalDpi="1200" verticalDpi="1200"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3"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DHCSDOC-1797567310-6397</_dlc_DocId>
    <_dlc_DocIdUrl xmlns="69bc34b3-1921-46c7-8c7a-d18363374b4b">
      <Url>http://dhcsgovstaging:88/_layouts/15/DocIdRedir.aspx?ID=DHCSDOC-1797567310-6397</Url>
      <Description>DHCSDOC-1797567310-6397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742E2FE3-63D5-4F36-85BE-418885BEA302}"/>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1c1dc04-eeda-4b6e-b2df-40979f5da1d3"/>
    <ds:schemaRef ds:uri="http://schemas.microsoft.com/sharepoint/v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A.2 Component Summary</vt:lpstr>
      <vt:lpstr>Instructions 2. Component Summa</vt:lpstr>
      <vt:lpstr>A.3 CSS</vt:lpstr>
      <vt:lpstr>Instructions 3. CSS</vt:lpstr>
      <vt:lpstr>A.4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'5. INN'!Print_Area</vt:lpstr>
      <vt:lpstr>'6. WET'!Print_Area</vt:lpstr>
      <vt:lpstr>'7. CFTN'!Print_Area</vt:lpstr>
      <vt:lpstr>'8. Adjustment (MHSA)'!Print_Area</vt:lpstr>
      <vt:lpstr>'9. Adjustment (FFP)'!Print_Area</vt:lpstr>
      <vt:lpstr>'A.2 Component Summary'!Print_Area</vt:lpstr>
      <vt:lpstr>'A.3 CSS'!Print_Area</vt:lpstr>
      <vt:lpstr>'A.4 PEI'!Print_Area</vt:lpstr>
      <vt:lpstr>'DHCS Only'!Print_Area</vt:lpstr>
      <vt:lpstr>'drop down fields'!Print_Area</vt:lpstr>
      <vt:lpstr>'E-1 CountyState2017'!Print_Area</vt:lpstr>
      <vt:lpstr>'1. Information'!Print_Titles</vt:lpstr>
      <vt:lpstr>'10. Comments'!Print_Titles</vt:lpstr>
      <vt:lpstr>'5. INN'!Print_Titles</vt:lpstr>
      <vt:lpstr>'6. WET'!Print_Titles</vt:lpstr>
      <vt:lpstr>'7. CFTN'!Print_Titles</vt:lpstr>
      <vt:lpstr>'8. Adjustment (MHSA)'!Print_Titles</vt:lpstr>
      <vt:lpstr>'9. Adjustment (FFP)'!Print_Titles</vt:lpstr>
      <vt:lpstr>'A.2 Component Summary'!Print_Titles</vt:lpstr>
      <vt:lpstr>'A.3 CSS'!Print_Titles</vt:lpstr>
      <vt:lpstr>'A.4 PEI'!Print_Titles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Sutter-Yuba-FY-21-22</dc:title>
  <dc:creator>Donna Ures</dc:creator>
  <cp:keywords/>
  <cp:lastModifiedBy>Tara Cole</cp:lastModifiedBy>
  <cp:lastPrinted>2023-01-30T21:45:25Z</cp:lastPrinted>
  <dcterms:created xsi:type="dcterms:W3CDTF">2017-07-05T19:48:18Z</dcterms:created>
  <dcterms:modified xsi:type="dcterms:W3CDTF">2023-02-22T21:28:37Z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c2bcf11a-e51b-4786-a1f1-e3814686e443</vt:lpwstr>
  </property>
  <property fmtid="{D5CDD505-2E9C-101B-9397-08002B2CF9AE}" pid="4" name="Remediated">
    <vt:bool>false</vt:bool>
  </property>
  <property fmtid="{D5CDD505-2E9C-101B-9397-08002B2CF9AE}" pid="5" name="Division">
    <vt:lpwstr>11;#Community Services|c23dee46-a4de-4c29-8bbc-79830d9e7d7c</vt:lpwstr>
  </property>
</Properties>
</file>