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showInkAnnotation="0" codeName="ThisWorkbook"/>
  <mc:AlternateContent xmlns:mc="http://schemas.openxmlformats.org/markup-compatibility/2006">
    <mc:Choice Requires="x15">
      <x15ac:absPath xmlns:x15ac="http://schemas.microsoft.com/office/spreadsheetml/2010/11/ac" url="Q:\2. Community Support Branch\4. PMF Section\2. Fiscal Unit\Revenue and Expenditure Reports\.COUNTY RER FILES\23-24 ADA\"/>
    </mc:Choice>
  </mc:AlternateContent>
  <xr:revisionPtr revIDLastSave="0" documentId="8_{BB4B49A2-FDA4-4C3D-A711-23DE2E3EDAD3}" xr6:coauthVersionLast="47" xr6:coauthVersionMax="47" xr10:uidLastSave="{00000000-0000-0000-0000-000000000000}"/>
  <workbookProtection workbookAlgorithmName="SHA-512" workbookHashValue="h8f0HJeE5L5tU1larSZ9ck3ov9F75A9mz24vvEz7hMgD8iKvnOkOESg4q93XErcfDcO0SagVngE0W9vw2/XjLg==" workbookSaltValue="cMtdIP8BQEy3PqeMsxgr0Q==" workbookSpinCount="100000" lockStructure="1"/>
  <bookViews>
    <workbookView xWindow="-108" yWindow="-108" windowWidth="23256" windowHeight="13896" tabRatio="584" firstSheet="16" activeTab="19" xr2:uid="{00000000-000D-0000-FFFF-FFFF00000000}"/>
  </bookViews>
  <sheets>
    <sheet name="1. Information" sheetId="2" r:id="rId1"/>
    <sheet name="Instructions 1. Information" sheetId="15" r:id="rId2"/>
    <sheet name="2. Component Summary" sheetId="3" r:id="rId3"/>
    <sheet name="Instructions 2. Component Summa" sheetId="25" r:id="rId4"/>
    <sheet name="3. CSS" sheetId="4" r:id="rId5"/>
    <sheet name="Instructions 3. CSS" sheetId="26" r:id="rId6"/>
    <sheet name="4. PEI" sheetId="5" r:id="rId7"/>
    <sheet name="Instructions 4. PEI" sheetId="27" r:id="rId8"/>
    <sheet name="5. INN" sheetId="6" r:id="rId9"/>
    <sheet name="Instructions 5. INN" sheetId="28" r:id="rId10"/>
    <sheet name="6. WET" sheetId="7" r:id="rId11"/>
    <sheet name="Instructions 6. WET" sheetId="29" r:id="rId12"/>
    <sheet name="7. CFTN" sheetId="8" r:id="rId13"/>
    <sheet name="Instructions 7. CFTN" sheetId="30" r:id="rId14"/>
    <sheet name="8. Adjustment (MHSA)" sheetId="9" r:id="rId15"/>
    <sheet name="Instructions 8. Adjust (MHSA)" sheetId="31" r:id="rId16"/>
    <sheet name="9. Adjustment (FFP)" sheetId="10" r:id="rId17"/>
    <sheet name="Instructions 9. Adjust (FFP)" sheetId="32" r:id="rId18"/>
    <sheet name="10. Comments" sheetId="11" r:id="rId19"/>
    <sheet name="Instructions 10. Comments" sheetId="33" r:id="rId20"/>
    <sheet name="Checks" sheetId="12" state="hidden" r:id="rId21"/>
    <sheet name="drop down fields" sheetId="13" state="hidden" r:id="rId22"/>
    <sheet name="E-1 CountyState2017" sheetId="14" state="hidden" r:id="rId23"/>
  </sheets>
  <definedNames>
    <definedName name="_xlnm._FilterDatabase" localSheetId="4" hidden="1">'3. CSS'!$B$32:$M$133</definedName>
    <definedName name="Adjustment_MHSA_Component">'drop down fields'!$J$2:$J$10</definedName>
    <definedName name="Adjustment_MHSA_FY">'drop down fields'!$K$2:$K$3</definedName>
    <definedName name="Adjustment_Reason">'drop down fields'!$M$2:$M$7</definedName>
    <definedName name="CFTN_Project_Type">'drop down fields'!$I$2:$I$3</definedName>
    <definedName name="Cost_Report_Stage">'drop down fields'!$N$2:$N$4</definedName>
    <definedName name="County">'drop down fields'!$A$2:$A$60</definedName>
    <definedName name="County_List">#REF!</definedName>
    <definedName name="County_Population">'E-1 CountyState2017'!$A$10:$E$71</definedName>
    <definedName name="CSS_Service_Category">'drop down fields'!$D$2:$D$3</definedName>
    <definedName name="Data">#REF!</definedName>
    <definedName name="FFP_Adjustment_FY">'drop down fields'!$L$2:$L$9</definedName>
    <definedName name="Info_County_Code">'drop down fields'!$A$2:$B$60</definedName>
    <definedName name="Info_Population">'drop down fields'!$C$2:$C$3</definedName>
    <definedName name="INN_Expenditure_Type">'drop down fields'!$G$2:$G$4</definedName>
    <definedName name="PEI_Combined_Standalone">'drop down fields'!$E$2:$E$3</definedName>
    <definedName name="PEI_Program_Type">'drop down fields'!$F$2:$F$9</definedName>
    <definedName name="_xlnm.Print_Area" localSheetId="0">'1. Information'!$B$1:$E$20</definedName>
    <definedName name="_xlnm.Print_Area" localSheetId="18">'10. Comments'!$B$1:$G$52</definedName>
    <definedName name="_xlnm.Print_Area" localSheetId="2">'2. Component Summary'!$B$1:$I$46</definedName>
    <definedName name="_xlnm.Print_Area" localSheetId="4">'3. CSS'!$B$1:$M$133</definedName>
    <definedName name="_xlnm.Print_Area" localSheetId="6">'4. PEI'!$B$1:$Q$133</definedName>
    <definedName name="_xlnm.Print_Area" localSheetId="8">'5. INN'!$B$1:$Q$128</definedName>
    <definedName name="_xlnm.Print_Area" localSheetId="10">'6. WET'!$B$1:$K$32</definedName>
    <definedName name="_xlnm.Print_Area" localSheetId="12">'7. CFTN'!$B$1:$L$46</definedName>
    <definedName name="_xlnm.Print_Area" localSheetId="14">'8. Adjustment (MHSA)'!$B$1:$H$120</definedName>
    <definedName name="_xlnm.Print_Area" localSheetId="16">'9. Adjustment (FFP)'!$B$1:$I$54</definedName>
    <definedName name="_xlnm.Print_Area" localSheetId="21">'drop down fields'!$A$1:$O$60</definedName>
    <definedName name="_xlnm.Print_Area" localSheetId="22">'E-1 CountyState2017'!$A$1:$G$83</definedName>
    <definedName name="_xlnm.Print_Titles" localSheetId="0">'1. Information'!$1:$8</definedName>
    <definedName name="_xlnm.Print_Titles" localSheetId="18">'10. Comments'!$1:$10</definedName>
    <definedName name="_xlnm.Print_Titles" localSheetId="2">'2. Component Summary'!$1:$10</definedName>
    <definedName name="_xlnm.Print_Titles" localSheetId="4">'3. CSS'!$1:$10</definedName>
    <definedName name="_xlnm.Print_Titles" localSheetId="6">'4. PEI'!$1:$10</definedName>
    <definedName name="_xlnm.Print_Titles" localSheetId="8">'5. INN'!$1:$10</definedName>
    <definedName name="_xlnm.Print_Titles" localSheetId="10">'6. WET'!$1:$10</definedName>
    <definedName name="_xlnm.Print_Titles" localSheetId="12">'7. CFTN'!$1:$10</definedName>
    <definedName name="_xlnm.Print_Titles" localSheetId="14">'8. Adjustment (MHSA)'!$1:$9</definedName>
    <definedName name="_xlnm.Print_Titles" localSheetId="16">'9. Adjustment (FFP)'!$1:$10</definedName>
    <definedName name="SCO_Distribution">Checks!$A$5:$E$63</definedName>
    <definedName name="TitleRegion1.b12.e52.20">'10. Comments'!$B$11</definedName>
    <definedName name="TitleRegion1.b12.i15.3">'2. Component Summary'!$B$12</definedName>
    <definedName name="TitleRegion1.b13.h44.16">'8. Adjustment (MHSA)'!$B$13</definedName>
    <definedName name="TitleRegion1.b13.i54.18">'9. Adjustment (FFP)'!$B$13</definedName>
    <definedName name="TitleRegion1.b13.k21.11">'6. WET'!$B$13</definedName>
    <definedName name="TitleRegion1.b13.k21.14">'7. CFTN'!$B$13</definedName>
    <definedName name="TitleRegion1.b13.k22.7">'4. PEI'!$B$13</definedName>
    <definedName name="TitleRegion1.b13.k23.9">'5. INN'!$B$13</definedName>
    <definedName name="TitleRegion1.b13.k27.5">'3. CSS'!$B$13</definedName>
    <definedName name="TitleRegion1.b15.k21.11">'6. WET'!$B$15</definedName>
    <definedName name="TitleRegion1.b15.k21.14">'7. CFTN'!$B$15</definedName>
    <definedName name="TitleRegion1.b15.k23.9">'5. INN'!$B$15</definedName>
    <definedName name="TitleRegion2.b17.f23.3">'2. Component Summary'!$B$17</definedName>
    <definedName name="TitleRegion2.b25.l46.14">'7. CFTN'!$B$25</definedName>
    <definedName name="TitleRegion2.b26.f28.7">'4. PEI'!$B$26</definedName>
    <definedName name="TitleRegion2.b26.j32.11">'6. WET'!$B$26</definedName>
    <definedName name="TitleRegion2.b27.q128.9">'5. INN'!$B$27</definedName>
    <definedName name="TitleRegion2.b32.l133.5">'3. CSS'!$B$32</definedName>
    <definedName name="TitleRegion2.b49.g80.16">'8. Adjustment (MHSA)'!$B$89</definedName>
    <definedName name="TitleRegion3.b25.i27.3">'2. Component Summary'!$B$25</definedName>
    <definedName name="TitleRegion3.b32.q133.7">'4. PEI'!$B$32</definedName>
    <definedName name="TitleRegion4.b29.i36.3">'2. Component Summary'!$B$29</definedName>
    <definedName name="TitleRegion5.b38.d46.3">'2. Component Summary'!$B$38</definedName>
    <definedName name="WET_Funding_Category">'drop down fields'!$H$2:$H$6</definedName>
    <definedName name="Z_7E50CCF5_45D0_4F7B_8896_9BA64DCA8A01_.wvu.PrintArea" localSheetId="0" hidden="1">'1. Information'!$B$1:$E$20</definedName>
    <definedName name="Z_7E50CCF5_45D0_4F7B_8896_9BA64DCA8A01_.wvu.PrintArea" localSheetId="18" hidden="1">'10. Comments'!$B$1:$G$52</definedName>
    <definedName name="Z_7E50CCF5_45D0_4F7B_8896_9BA64DCA8A01_.wvu.PrintArea" localSheetId="2" hidden="1">'2. Component Summary'!$B$1:$I$46</definedName>
    <definedName name="Z_7E50CCF5_45D0_4F7B_8896_9BA64DCA8A01_.wvu.PrintArea" localSheetId="4" hidden="1">'3. CSS'!$B$1:$M$133</definedName>
    <definedName name="Z_7E50CCF5_45D0_4F7B_8896_9BA64DCA8A01_.wvu.PrintArea" localSheetId="6" hidden="1">'4. PEI'!$B$1:$Q$133</definedName>
    <definedName name="Z_7E50CCF5_45D0_4F7B_8896_9BA64DCA8A01_.wvu.PrintArea" localSheetId="8" hidden="1">'5. INN'!$B$1:$Q$128</definedName>
    <definedName name="Z_7E50CCF5_45D0_4F7B_8896_9BA64DCA8A01_.wvu.PrintArea" localSheetId="10" hidden="1">'6. WET'!$B$1:$K$32</definedName>
    <definedName name="Z_7E50CCF5_45D0_4F7B_8896_9BA64DCA8A01_.wvu.PrintArea" localSheetId="12" hidden="1">'7. CFTN'!$B$1:$L$46</definedName>
    <definedName name="Z_7E50CCF5_45D0_4F7B_8896_9BA64DCA8A01_.wvu.PrintArea" localSheetId="14" hidden="1">'8. Adjustment (MHSA)'!$B$1:$H$120</definedName>
    <definedName name="Z_7E50CCF5_45D0_4F7B_8896_9BA64DCA8A01_.wvu.PrintArea" localSheetId="16" hidden="1">'9. Adjustment (FFP)'!$B$1:$I$54</definedName>
    <definedName name="Z_7E50CCF5_45D0_4F7B_8896_9BA64DCA8A01_.wvu.PrintArea" localSheetId="21" hidden="1">'drop down fields'!$A$1:$O$60</definedName>
    <definedName name="Z_7E50CCF5_45D0_4F7B_8896_9BA64DCA8A01_.wvu.PrintArea" localSheetId="22" hidden="1">'E-1 CountyState2017'!$A$1:$G$83</definedName>
    <definedName name="Z_7E50CCF5_45D0_4F7B_8896_9BA64DCA8A01_.wvu.PrintTitles" localSheetId="0" hidden="1">'1. Information'!$1:$8</definedName>
    <definedName name="Z_7E50CCF5_45D0_4F7B_8896_9BA64DCA8A01_.wvu.PrintTitles" localSheetId="18" hidden="1">'10. Comments'!$1:$10</definedName>
    <definedName name="Z_7E50CCF5_45D0_4F7B_8896_9BA64DCA8A01_.wvu.PrintTitles" localSheetId="2" hidden="1">'2. Component Summary'!$1:$10</definedName>
    <definedName name="Z_7E50CCF5_45D0_4F7B_8896_9BA64DCA8A01_.wvu.PrintTitles" localSheetId="4" hidden="1">'3. CSS'!$1:$10</definedName>
    <definedName name="Z_7E50CCF5_45D0_4F7B_8896_9BA64DCA8A01_.wvu.PrintTitles" localSheetId="6" hidden="1">'4. PEI'!$1:$10</definedName>
    <definedName name="Z_7E50CCF5_45D0_4F7B_8896_9BA64DCA8A01_.wvu.PrintTitles" localSheetId="8" hidden="1">'5. INN'!$1:$10</definedName>
    <definedName name="Z_7E50CCF5_45D0_4F7B_8896_9BA64DCA8A01_.wvu.PrintTitles" localSheetId="10" hidden="1">'6. WET'!$1:$10</definedName>
    <definedName name="Z_7E50CCF5_45D0_4F7B_8896_9BA64DCA8A01_.wvu.PrintTitles" localSheetId="12" hidden="1">'7. CFTN'!$1:$10</definedName>
    <definedName name="Z_7E50CCF5_45D0_4F7B_8896_9BA64DCA8A01_.wvu.PrintTitles" localSheetId="14" hidden="1">'8. Adjustment (MHSA)'!$1:$9</definedName>
    <definedName name="Z_7E50CCF5_45D0_4F7B_8896_9BA64DCA8A01_.wvu.PrintTitles" localSheetId="16" hidden="1">'9. Adjustment (FFP)'!$1:$10</definedName>
    <definedName name="Z_D8D3A042_2CA2_4641_BB44_BC182917D730_.wvu.PrintArea" localSheetId="0" hidden="1">'1. Information'!$B$1:$E$20</definedName>
    <definedName name="Z_D8D3A042_2CA2_4641_BB44_BC182917D730_.wvu.PrintArea" localSheetId="18" hidden="1">'10. Comments'!$B$1:$G$52</definedName>
    <definedName name="Z_D8D3A042_2CA2_4641_BB44_BC182917D730_.wvu.PrintArea" localSheetId="2" hidden="1">'2. Component Summary'!$B$1:$I$46</definedName>
    <definedName name="Z_D8D3A042_2CA2_4641_BB44_BC182917D730_.wvu.PrintArea" localSheetId="4" hidden="1">'3. CSS'!$B$1:$M$133</definedName>
    <definedName name="Z_D8D3A042_2CA2_4641_BB44_BC182917D730_.wvu.PrintArea" localSheetId="6" hidden="1">'4. PEI'!$B$1:$Q$133</definedName>
    <definedName name="Z_D8D3A042_2CA2_4641_BB44_BC182917D730_.wvu.PrintArea" localSheetId="8" hidden="1">'5. INN'!$B$1:$Q$128</definedName>
    <definedName name="Z_D8D3A042_2CA2_4641_BB44_BC182917D730_.wvu.PrintArea" localSheetId="10" hidden="1">'6. WET'!$B$1:$K$32</definedName>
    <definedName name="Z_D8D3A042_2CA2_4641_BB44_BC182917D730_.wvu.PrintArea" localSheetId="12" hidden="1">'7. CFTN'!$B$1:$L$46</definedName>
    <definedName name="Z_D8D3A042_2CA2_4641_BB44_BC182917D730_.wvu.PrintArea" localSheetId="14" hidden="1">'8. Adjustment (MHSA)'!$B$1:$H$120</definedName>
    <definedName name="Z_D8D3A042_2CA2_4641_BB44_BC182917D730_.wvu.PrintArea" localSheetId="16" hidden="1">'9. Adjustment (FFP)'!$B$1:$I$54</definedName>
    <definedName name="Z_D8D3A042_2CA2_4641_BB44_BC182917D730_.wvu.PrintArea" localSheetId="21" hidden="1">'drop down fields'!$A$1:$O$60</definedName>
    <definedName name="Z_D8D3A042_2CA2_4641_BB44_BC182917D730_.wvu.PrintArea" localSheetId="22" hidden="1">'E-1 CountyState2017'!$A$1:$G$83</definedName>
    <definedName name="Z_D8D3A042_2CA2_4641_BB44_BC182917D730_.wvu.PrintTitles" localSheetId="0" hidden="1">'1. Information'!$1:$8</definedName>
    <definedName name="Z_D8D3A042_2CA2_4641_BB44_BC182917D730_.wvu.PrintTitles" localSheetId="18" hidden="1">'10. Comments'!$1:$10</definedName>
    <definedName name="Z_D8D3A042_2CA2_4641_BB44_BC182917D730_.wvu.PrintTitles" localSheetId="2" hidden="1">'2. Component Summary'!$1:$10</definedName>
    <definedName name="Z_D8D3A042_2CA2_4641_BB44_BC182917D730_.wvu.PrintTitles" localSheetId="4" hidden="1">'3. CSS'!$1:$10</definedName>
    <definedName name="Z_D8D3A042_2CA2_4641_BB44_BC182917D730_.wvu.PrintTitles" localSheetId="6" hidden="1">'4. PEI'!$1:$10</definedName>
    <definedName name="Z_D8D3A042_2CA2_4641_BB44_BC182917D730_.wvu.PrintTitles" localSheetId="8" hidden="1">'5. INN'!$1:$10</definedName>
    <definedName name="Z_D8D3A042_2CA2_4641_BB44_BC182917D730_.wvu.PrintTitles" localSheetId="10" hidden="1">'6. WET'!$1:$10</definedName>
    <definedName name="Z_D8D3A042_2CA2_4641_BB44_BC182917D730_.wvu.PrintTitles" localSheetId="12" hidden="1">'7. CFTN'!$1:$10</definedName>
    <definedName name="Z_D8D3A042_2CA2_4641_BB44_BC182917D730_.wvu.PrintTitles" localSheetId="14" hidden="1">'8. Adjustment (MHSA)'!$1:$9</definedName>
    <definedName name="Z_D8D3A042_2CA2_4641_BB44_BC182917D730_.wvu.PrintTitles" localSheetId="16" hidden="1">'9. Adjustment (FFP)'!$1:$10</definedName>
    <definedName name="Z_E7E6A24F_BA49_4C7A_9CED_3AB8F60308A1_.wvu.PrintArea" localSheetId="0" hidden="1">'1. Information'!$B$1:$E$20</definedName>
    <definedName name="Z_E7E6A24F_BA49_4C7A_9CED_3AB8F60308A1_.wvu.PrintArea" localSheetId="18" hidden="1">'10. Comments'!$B$1:$G$52</definedName>
    <definedName name="Z_E7E6A24F_BA49_4C7A_9CED_3AB8F60308A1_.wvu.PrintArea" localSheetId="2" hidden="1">'2. Component Summary'!$B$1:$I$46</definedName>
    <definedName name="Z_E7E6A24F_BA49_4C7A_9CED_3AB8F60308A1_.wvu.PrintArea" localSheetId="4" hidden="1">'3. CSS'!$B$1:$M$133</definedName>
    <definedName name="Z_E7E6A24F_BA49_4C7A_9CED_3AB8F60308A1_.wvu.PrintArea" localSheetId="6" hidden="1">'4. PEI'!$B$1:$Q$133</definedName>
    <definedName name="Z_E7E6A24F_BA49_4C7A_9CED_3AB8F60308A1_.wvu.PrintArea" localSheetId="8" hidden="1">'5. INN'!$B$1:$Q$128</definedName>
    <definedName name="Z_E7E6A24F_BA49_4C7A_9CED_3AB8F60308A1_.wvu.PrintArea" localSheetId="10" hidden="1">'6. WET'!$B$1:$K$32</definedName>
    <definedName name="Z_E7E6A24F_BA49_4C7A_9CED_3AB8F60308A1_.wvu.PrintArea" localSheetId="12" hidden="1">'7. CFTN'!$B$1:$L$46</definedName>
    <definedName name="Z_E7E6A24F_BA49_4C7A_9CED_3AB8F60308A1_.wvu.PrintArea" localSheetId="14" hidden="1">'8. Adjustment (MHSA)'!$B$1:$H$120</definedName>
    <definedName name="Z_E7E6A24F_BA49_4C7A_9CED_3AB8F60308A1_.wvu.PrintArea" localSheetId="16" hidden="1">'9. Adjustment (FFP)'!$B$1:$I$54</definedName>
    <definedName name="Z_E7E6A24F_BA49_4C7A_9CED_3AB8F60308A1_.wvu.PrintArea" localSheetId="21" hidden="1">'drop down fields'!$A$1:$O$60</definedName>
    <definedName name="Z_E7E6A24F_BA49_4C7A_9CED_3AB8F60308A1_.wvu.PrintArea" localSheetId="22" hidden="1">'E-1 CountyState2017'!$A$1:$G$83</definedName>
    <definedName name="Z_E7E6A24F_BA49_4C7A_9CED_3AB8F60308A1_.wvu.PrintTitles" localSheetId="0" hidden="1">'1. Information'!$1:$8</definedName>
    <definedName name="Z_E7E6A24F_BA49_4C7A_9CED_3AB8F60308A1_.wvu.PrintTitles" localSheetId="18" hidden="1">'10. Comments'!$1:$10</definedName>
    <definedName name="Z_E7E6A24F_BA49_4C7A_9CED_3AB8F60308A1_.wvu.PrintTitles" localSheetId="2" hidden="1">'2. Component Summary'!$1:$10</definedName>
    <definedName name="Z_E7E6A24F_BA49_4C7A_9CED_3AB8F60308A1_.wvu.PrintTitles" localSheetId="4" hidden="1">'3. CSS'!$1:$10</definedName>
    <definedName name="Z_E7E6A24F_BA49_4C7A_9CED_3AB8F60308A1_.wvu.PrintTitles" localSheetId="6" hidden="1">'4. PEI'!$1:$10</definedName>
    <definedName name="Z_E7E6A24F_BA49_4C7A_9CED_3AB8F60308A1_.wvu.PrintTitles" localSheetId="8" hidden="1">'5. INN'!$1:$10</definedName>
    <definedName name="Z_E7E6A24F_BA49_4C7A_9CED_3AB8F60308A1_.wvu.PrintTitles" localSheetId="10" hidden="1">'6. WET'!$1:$10</definedName>
    <definedName name="Z_E7E6A24F_BA49_4C7A_9CED_3AB8F60308A1_.wvu.PrintTitles" localSheetId="12" hidden="1">'7. CFTN'!$1:$10</definedName>
    <definedName name="Z_E7E6A24F_BA49_4C7A_9CED_3AB8F60308A1_.wvu.PrintTitles" localSheetId="14" hidden="1">'8. Adjustment (MHSA)'!$1:$9</definedName>
    <definedName name="Z_E7E6A24F_BA49_4C7A_9CED_3AB8F60308A1_.wvu.PrintTitles" localSheetId="16" hidden="1">'9. Adjustment (FFP)'!$1:$10</definedName>
  </definedNames>
  <calcPr calcId="191029"/>
  <customWorkbookViews>
    <customWorkbookView name="Windows User - Personal View" guid="{E7E6A24F-BA49-4C7A-9CED-3AB8F60308A1}" mergeInterval="0" personalView="1" maximized="1" xWindow="-8" yWindow="-8" windowWidth="1696" windowHeight="1026" tabRatio="584" activeSheetId="9" showComments="commIndAndComment"/>
    <customWorkbookView name="Christensen, Theresa (MHSD-FMOR)@DHCS - Personal View" guid="{7E50CCF5-45D0-4F7B-8896-9BA64DCA8A01}" mergeInterval="0" personalView="1" maximized="1" xWindow="-8" yWindow="-8" windowWidth="1616" windowHeight="876" tabRatio="584" activeSheetId="11"/>
    <customWorkbookView name="Donna Ures - Personal View" guid="{D8D3A042-2CA2-4641-BB44-BC182917D730}" mergeInterval="0" personalView="1" maximized="1" xWindow="-8" yWindow="-8" windowWidth="1936" windowHeight="1176" tabRatio="584" activeSheetId="3"/>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62" i="9" l="1"/>
  <c r="G48" i="9" l="1"/>
  <c r="G47" i="9"/>
  <c r="G46" i="9"/>
  <c r="G45" i="9"/>
  <c r="G32" i="9"/>
  <c r="G31" i="9"/>
  <c r="G30" i="9"/>
  <c r="G29" i="9"/>
  <c r="G28" i="9"/>
  <c r="G27" i="9"/>
  <c r="G26" i="9"/>
  <c r="G25" i="9"/>
  <c r="G24" i="9"/>
  <c r="G23" i="9"/>
  <c r="G22" i="9"/>
  <c r="G21" i="9"/>
  <c r="G20" i="9"/>
  <c r="G19" i="9"/>
  <c r="G38" i="4" l="1"/>
  <c r="F17" i="4"/>
  <c r="F17" i="5"/>
  <c r="F17" i="8"/>
  <c r="F17" i="7"/>
  <c r="F16" i="6"/>
  <c r="L35" i="6"/>
  <c r="G48" i="4"/>
  <c r="G46" i="4" l="1"/>
  <c r="I45" i="4"/>
  <c r="G45" i="4"/>
  <c r="I43" i="4"/>
  <c r="G43" i="4" s="1"/>
  <c r="I42" i="4"/>
  <c r="I40" i="4"/>
  <c r="I39" i="4"/>
  <c r="G39" i="4" s="1"/>
  <c r="I38" i="4"/>
  <c r="G37" i="4"/>
  <c r="I37" i="4"/>
  <c r="I36" i="4"/>
  <c r="I35" i="4"/>
  <c r="G35" i="4" s="1"/>
  <c r="I34" i="4"/>
  <c r="G34" i="4" s="1"/>
  <c r="L42" i="5"/>
  <c r="F16" i="4"/>
  <c r="F15" i="4"/>
  <c r="G51" i="4"/>
  <c r="G47" i="4"/>
  <c r="G44" i="4"/>
  <c r="G42" i="4"/>
  <c r="G41" i="4"/>
  <c r="G40" i="4"/>
  <c r="G36" i="4"/>
  <c r="L39" i="6"/>
  <c r="E30" i="7"/>
  <c r="E28" i="7"/>
  <c r="C16" i="9" l="1"/>
  <c r="C17" i="9"/>
  <c r="C18" i="9"/>
  <c r="C19" i="9"/>
  <c r="C20" i="9"/>
  <c r="C21" i="9"/>
  <c r="C22" i="9"/>
  <c r="C23" i="9"/>
  <c r="C24" i="9"/>
  <c r="C25" i="9"/>
  <c r="C26" i="9"/>
  <c r="C27" i="9"/>
  <c r="C28" i="9"/>
  <c r="C29" i="9"/>
  <c r="C30" i="9"/>
  <c r="C31" i="9"/>
  <c r="C32" i="9"/>
  <c r="C33" i="9"/>
  <c r="C34" i="9"/>
  <c r="C35" i="9"/>
  <c r="C36" i="9"/>
  <c r="C37" i="9"/>
  <c r="C38" i="9"/>
  <c r="C39" i="9"/>
  <c r="C40" i="9"/>
  <c r="C41" i="9"/>
  <c r="C42" i="9"/>
  <c r="C43" i="9"/>
  <c r="C44" i="9"/>
  <c r="C45" i="9"/>
  <c r="C46" i="9"/>
  <c r="C47" i="9"/>
  <c r="C48" i="9"/>
  <c r="C49" i="9"/>
  <c r="C50" i="9"/>
  <c r="C51" i="9"/>
  <c r="C52" i="9"/>
  <c r="C53" i="9"/>
  <c r="C54" i="9"/>
  <c r="C55" i="9"/>
  <c r="C56" i="9"/>
  <c r="C57" i="9"/>
  <c r="C58" i="9"/>
  <c r="C59" i="9"/>
  <c r="C60" i="9"/>
  <c r="C61" i="9"/>
  <c r="C62" i="9"/>
  <c r="C63" i="9"/>
  <c r="C64" i="9"/>
  <c r="C65" i="9"/>
  <c r="C66" i="9"/>
  <c r="C67" i="9"/>
  <c r="C68" i="9"/>
  <c r="C69" i="9"/>
  <c r="C70" i="9"/>
  <c r="C71" i="9"/>
  <c r="C72" i="9"/>
  <c r="C73" i="9"/>
  <c r="C74" i="9"/>
  <c r="C75" i="9"/>
  <c r="C76" i="9"/>
  <c r="C77" i="9"/>
  <c r="C78" i="9"/>
  <c r="C79" i="9"/>
  <c r="C80" i="9"/>
  <c r="C81" i="9"/>
  <c r="C82" i="9"/>
  <c r="C83" i="9"/>
  <c r="C84" i="9"/>
  <c r="C85" i="9"/>
  <c r="D21" i="3"/>
  <c r="D33" i="3"/>
  <c r="D12" i="2"/>
  <c r="B6" i="2"/>
  <c r="D16" i="2"/>
  <c r="F20" i="3"/>
  <c r="D44" i="3" l="1"/>
  <c r="M128" i="6"/>
  <c r="M124" i="6"/>
  <c r="M120" i="6"/>
  <c r="M116" i="6"/>
  <c r="M112" i="6"/>
  <c r="M108" i="6"/>
  <c r="M104" i="6"/>
  <c r="M100" i="6"/>
  <c r="M96" i="6"/>
  <c r="M92" i="6"/>
  <c r="M88" i="6"/>
  <c r="M84" i="6"/>
  <c r="M80" i="6"/>
  <c r="M76" i="6"/>
  <c r="M72" i="6"/>
  <c r="M68" i="6"/>
  <c r="M64" i="6"/>
  <c r="M60" i="6"/>
  <c r="M56" i="6"/>
  <c r="M52" i="6"/>
  <c r="M48" i="6"/>
  <c r="M44" i="6"/>
  <c r="M40" i="6"/>
  <c r="M36" i="6"/>
  <c r="M32" i="6"/>
  <c r="N32" i="6"/>
  <c r="L32" i="6"/>
  <c r="R34" i="5" l="1"/>
  <c r="F21" i="5"/>
  <c r="F22" i="5" s="1"/>
  <c r="F25" i="4"/>
  <c r="M34" i="4"/>
  <c r="K35" i="5"/>
  <c r="M35" i="4"/>
  <c r="F26" i="4" l="1"/>
  <c r="F27" i="4"/>
  <c r="M133" i="4" l="1"/>
  <c r="C133" i="4" s="1"/>
  <c r="B5" i="3"/>
  <c r="G9" i="4" l="1"/>
  <c r="D9" i="4"/>
  <c r="E9" i="6"/>
  <c r="G9" i="5"/>
  <c r="H9" i="6"/>
  <c r="D9" i="7"/>
  <c r="I14" i="3"/>
  <c r="C9" i="3"/>
  <c r="I18" i="10" l="1"/>
  <c r="K18" i="8"/>
  <c r="K19" i="8"/>
  <c r="K19" i="7"/>
  <c r="K18" i="7"/>
  <c r="K17" i="6"/>
  <c r="K18" i="6"/>
  <c r="K20" i="5"/>
  <c r="K19" i="5"/>
  <c r="K18" i="5"/>
  <c r="K24" i="4"/>
  <c r="K23" i="4"/>
  <c r="K22" i="4"/>
  <c r="K21" i="4"/>
  <c r="K20" i="4"/>
  <c r="K19" i="4"/>
  <c r="K18" i="4"/>
  <c r="C15" i="9" l="1"/>
  <c r="F20" i="8"/>
  <c r="F21" i="8" s="1"/>
  <c r="R29" i="6"/>
  <c r="J25" i="4" l="1"/>
  <c r="J27" i="4" l="1"/>
  <c r="J26" i="4"/>
  <c r="D31" i="3" l="1"/>
  <c r="I15" i="3"/>
  <c r="G9" i="11" l="1"/>
  <c r="C9" i="11"/>
  <c r="H10" i="12" l="1"/>
  <c r="H9" i="12"/>
  <c r="H8" i="12" l="1"/>
  <c r="H3" i="12"/>
  <c r="C6" i="12" l="1"/>
  <c r="D6" i="12"/>
  <c r="E6" i="12"/>
  <c r="C7" i="12"/>
  <c r="D7" i="12"/>
  <c r="E7" i="12"/>
  <c r="C8" i="12"/>
  <c r="D8" i="12"/>
  <c r="E8" i="12"/>
  <c r="C9" i="12"/>
  <c r="D9" i="12"/>
  <c r="E9" i="12"/>
  <c r="C10" i="12"/>
  <c r="D10" i="12"/>
  <c r="E10" i="12"/>
  <c r="C11" i="12"/>
  <c r="D11" i="12"/>
  <c r="E11" i="12"/>
  <c r="C12" i="12"/>
  <c r="D12" i="12"/>
  <c r="E12" i="12"/>
  <c r="C13" i="12"/>
  <c r="D13" i="12"/>
  <c r="E13" i="12"/>
  <c r="C14" i="12"/>
  <c r="D14" i="12"/>
  <c r="E14" i="12"/>
  <c r="C15" i="12"/>
  <c r="D15" i="12"/>
  <c r="E15" i="12"/>
  <c r="C16" i="12"/>
  <c r="D16" i="12"/>
  <c r="E16" i="12"/>
  <c r="C17" i="12"/>
  <c r="D17" i="12"/>
  <c r="E17" i="12"/>
  <c r="C18" i="12"/>
  <c r="D18" i="12"/>
  <c r="E18" i="12"/>
  <c r="C19" i="12"/>
  <c r="D19" i="12"/>
  <c r="E19" i="12"/>
  <c r="C20" i="12"/>
  <c r="D20" i="12"/>
  <c r="E20" i="12"/>
  <c r="C21" i="12"/>
  <c r="D21" i="12"/>
  <c r="E21" i="12"/>
  <c r="C22" i="12"/>
  <c r="D22" i="12"/>
  <c r="E22" i="12"/>
  <c r="C23" i="12"/>
  <c r="D23" i="12"/>
  <c r="E23" i="12"/>
  <c r="C24" i="12"/>
  <c r="D24" i="12"/>
  <c r="E24" i="12"/>
  <c r="C25" i="12"/>
  <c r="D25" i="12"/>
  <c r="E25" i="12"/>
  <c r="C26" i="12"/>
  <c r="D26" i="12"/>
  <c r="E26" i="12"/>
  <c r="C27" i="12"/>
  <c r="D27" i="12"/>
  <c r="E27" i="12"/>
  <c r="C28" i="12"/>
  <c r="D28" i="12"/>
  <c r="E28" i="12"/>
  <c r="C29" i="12"/>
  <c r="D29" i="12"/>
  <c r="E29" i="12"/>
  <c r="C30" i="12"/>
  <c r="D30" i="12"/>
  <c r="E30" i="12"/>
  <c r="C31" i="12"/>
  <c r="D31" i="12"/>
  <c r="E31" i="12"/>
  <c r="C32" i="12"/>
  <c r="D32" i="12"/>
  <c r="E32" i="12"/>
  <c r="C33" i="12"/>
  <c r="D33" i="12"/>
  <c r="E33" i="12"/>
  <c r="C34" i="12"/>
  <c r="D34" i="12"/>
  <c r="E34" i="12"/>
  <c r="C35" i="12"/>
  <c r="D35" i="12"/>
  <c r="E35" i="12"/>
  <c r="C36" i="12"/>
  <c r="D36" i="12"/>
  <c r="E36" i="12"/>
  <c r="C37" i="12"/>
  <c r="D37" i="12"/>
  <c r="E37" i="12"/>
  <c r="C38" i="12"/>
  <c r="D38" i="12"/>
  <c r="E38" i="12"/>
  <c r="C39" i="12"/>
  <c r="D39" i="12"/>
  <c r="E39" i="12"/>
  <c r="C40" i="12"/>
  <c r="D40" i="12"/>
  <c r="E40" i="12"/>
  <c r="C41" i="12"/>
  <c r="D41" i="12"/>
  <c r="E41" i="12"/>
  <c r="C42" i="12"/>
  <c r="D42" i="12"/>
  <c r="E42" i="12"/>
  <c r="C43" i="12"/>
  <c r="D43" i="12"/>
  <c r="E43" i="12"/>
  <c r="C44" i="12"/>
  <c r="D44" i="12"/>
  <c r="E44" i="12"/>
  <c r="C45" i="12"/>
  <c r="D45" i="12"/>
  <c r="E45" i="12"/>
  <c r="C46" i="12"/>
  <c r="D46" i="12"/>
  <c r="E46" i="12"/>
  <c r="C47" i="12"/>
  <c r="D47" i="12"/>
  <c r="E47" i="12"/>
  <c r="C48" i="12"/>
  <c r="D48" i="12"/>
  <c r="E48" i="12"/>
  <c r="C49" i="12"/>
  <c r="D49" i="12"/>
  <c r="E49" i="12"/>
  <c r="C50" i="12"/>
  <c r="D50" i="12"/>
  <c r="E50" i="12"/>
  <c r="C51" i="12"/>
  <c r="D51" i="12"/>
  <c r="E51" i="12"/>
  <c r="C52" i="12"/>
  <c r="D52" i="12"/>
  <c r="E52" i="12"/>
  <c r="C53" i="12"/>
  <c r="D53" i="12"/>
  <c r="E53" i="12"/>
  <c r="C54" i="12"/>
  <c r="D54" i="12"/>
  <c r="E54" i="12"/>
  <c r="C55" i="12"/>
  <c r="D55" i="12"/>
  <c r="E55" i="12"/>
  <c r="C56" i="12"/>
  <c r="D56" i="12"/>
  <c r="E56" i="12"/>
  <c r="C57" i="12"/>
  <c r="D57" i="12"/>
  <c r="E57" i="12"/>
  <c r="C58" i="12"/>
  <c r="D58" i="12"/>
  <c r="E58" i="12"/>
  <c r="C59" i="12"/>
  <c r="D59" i="12"/>
  <c r="E59" i="12"/>
  <c r="C60" i="12"/>
  <c r="D60" i="12"/>
  <c r="E60" i="12"/>
  <c r="C61" i="12"/>
  <c r="D61" i="12"/>
  <c r="E61" i="12"/>
  <c r="C62" i="12"/>
  <c r="D62" i="12"/>
  <c r="E62" i="12"/>
  <c r="C63" i="12"/>
  <c r="D63" i="12"/>
  <c r="E63" i="12"/>
  <c r="E5" i="12"/>
  <c r="D5" i="12"/>
  <c r="C5" i="12"/>
  <c r="B64" i="12"/>
  <c r="C64" i="12" l="1"/>
  <c r="D64" i="12"/>
  <c r="E64" i="12"/>
  <c r="H27" i="3" l="1"/>
  <c r="G27" i="3"/>
  <c r="F27" i="3"/>
  <c r="E27" i="3"/>
  <c r="F21" i="3"/>
  <c r="F22" i="3"/>
  <c r="D27" i="3" l="1"/>
  <c r="I27" i="3" s="1"/>
  <c r="F23" i="3"/>
  <c r="G9" i="3" l="1"/>
  <c r="J27" i="3" l="1"/>
  <c r="H6" i="12"/>
  <c r="B6" i="3" l="1"/>
  <c r="S34" i="5" l="1"/>
  <c r="T34" i="5" s="1"/>
  <c r="S133" i="5"/>
  <c r="T133" i="5" s="1"/>
  <c r="S132" i="5"/>
  <c r="T132" i="5" s="1"/>
  <c r="S131" i="5"/>
  <c r="T131" i="5" s="1"/>
  <c r="S130" i="5"/>
  <c r="T130" i="5" s="1"/>
  <c r="S129" i="5"/>
  <c r="T129" i="5" s="1"/>
  <c r="S128" i="5"/>
  <c r="T128" i="5" s="1"/>
  <c r="S127" i="5"/>
  <c r="T127" i="5" s="1"/>
  <c r="S126" i="5"/>
  <c r="T126" i="5" s="1"/>
  <c r="S125" i="5"/>
  <c r="T125" i="5" s="1"/>
  <c r="S124" i="5"/>
  <c r="T124" i="5" s="1"/>
  <c r="S123" i="5"/>
  <c r="T123" i="5" s="1"/>
  <c r="S122" i="5"/>
  <c r="T122" i="5" s="1"/>
  <c r="S121" i="5"/>
  <c r="T121" i="5" s="1"/>
  <c r="S120" i="5"/>
  <c r="T120" i="5" s="1"/>
  <c r="S119" i="5"/>
  <c r="T119" i="5" s="1"/>
  <c r="S118" i="5"/>
  <c r="T118" i="5" s="1"/>
  <c r="S117" i="5"/>
  <c r="T117" i="5" s="1"/>
  <c r="S116" i="5"/>
  <c r="T116" i="5" s="1"/>
  <c r="S115" i="5"/>
  <c r="T115" i="5" s="1"/>
  <c r="S114" i="5"/>
  <c r="T114" i="5" s="1"/>
  <c r="S113" i="5"/>
  <c r="T113" i="5" s="1"/>
  <c r="S112" i="5"/>
  <c r="T112" i="5" s="1"/>
  <c r="S111" i="5"/>
  <c r="T111" i="5" s="1"/>
  <c r="S110" i="5"/>
  <c r="T110" i="5" s="1"/>
  <c r="S109" i="5"/>
  <c r="T109" i="5" s="1"/>
  <c r="S108" i="5"/>
  <c r="T108" i="5" s="1"/>
  <c r="S107" i="5"/>
  <c r="T107" i="5" s="1"/>
  <c r="S106" i="5"/>
  <c r="T106" i="5" s="1"/>
  <c r="S105" i="5"/>
  <c r="T105" i="5" s="1"/>
  <c r="S104" i="5"/>
  <c r="T104" i="5" s="1"/>
  <c r="S103" i="5"/>
  <c r="T103" i="5" s="1"/>
  <c r="S102" i="5"/>
  <c r="T102" i="5" s="1"/>
  <c r="S101" i="5"/>
  <c r="T101" i="5" s="1"/>
  <c r="S100" i="5"/>
  <c r="T100" i="5" s="1"/>
  <c r="S99" i="5"/>
  <c r="T99" i="5" s="1"/>
  <c r="S98" i="5"/>
  <c r="T98" i="5" s="1"/>
  <c r="S97" i="5"/>
  <c r="T97" i="5" s="1"/>
  <c r="S96" i="5"/>
  <c r="T96" i="5" s="1"/>
  <c r="S95" i="5"/>
  <c r="T95" i="5" s="1"/>
  <c r="S94" i="5"/>
  <c r="T94" i="5" s="1"/>
  <c r="S93" i="5"/>
  <c r="T93" i="5" s="1"/>
  <c r="S92" i="5"/>
  <c r="T92" i="5" s="1"/>
  <c r="S91" i="5"/>
  <c r="T91" i="5" s="1"/>
  <c r="S90" i="5"/>
  <c r="T90" i="5" s="1"/>
  <c r="S89" i="5"/>
  <c r="T89" i="5" s="1"/>
  <c r="S88" i="5"/>
  <c r="T88" i="5" s="1"/>
  <c r="S87" i="5"/>
  <c r="T87" i="5" s="1"/>
  <c r="S86" i="5"/>
  <c r="T86" i="5" s="1"/>
  <c r="S85" i="5"/>
  <c r="T85" i="5" s="1"/>
  <c r="S84" i="5"/>
  <c r="T84" i="5" s="1"/>
  <c r="S83" i="5"/>
  <c r="T83" i="5" s="1"/>
  <c r="S82" i="5"/>
  <c r="T82" i="5" s="1"/>
  <c r="S81" i="5"/>
  <c r="T81" i="5" s="1"/>
  <c r="S80" i="5"/>
  <c r="T80" i="5" s="1"/>
  <c r="S79" i="5"/>
  <c r="T79" i="5" s="1"/>
  <c r="S78" i="5"/>
  <c r="T78" i="5" s="1"/>
  <c r="S77" i="5"/>
  <c r="T77" i="5" s="1"/>
  <c r="S76" i="5"/>
  <c r="T76" i="5" s="1"/>
  <c r="S75" i="5"/>
  <c r="T75" i="5" s="1"/>
  <c r="S74" i="5"/>
  <c r="T74" i="5" s="1"/>
  <c r="S73" i="5"/>
  <c r="T73" i="5" s="1"/>
  <c r="S72" i="5"/>
  <c r="T72" i="5" s="1"/>
  <c r="S71" i="5"/>
  <c r="T71" i="5" s="1"/>
  <c r="S70" i="5"/>
  <c r="T70" i="5" s="1"/>
  <c r="S69" i="5"/>
  <c r="T69" i="5" s="1"/>
  <c r="S68" i="5"/>
  <c r="T68" i="5" s="1"/>
  <c r="S67" i="5"/>
  <c r="T67" i="5" s="1"/>
  <c r="S66" i="5"/>
  <c r="T66" i="5" s="1"/>
  <c r="S65" i="5"/>
  <c r="T65" i="5" s="1"/>
  <c r="S64" i="5"/>
  <c r="T64" i="5" s="1"/>
  <c r="S63" i="5"/>
  <c r="T63" i="5" s="1"/>
  <c r="S62" i="5"/>
  <c r="T62" i="5" s="1"/>
  <c r="S61" i="5"/>
  <c r="T61" i="5" s="1"/>
  <c r="S60" i="5"/>
  <c r="T60" i="5" s="1"/>
  <c r="S59" i="5"/>
  <c r="T59" i="5" s="1"/>
  <c r="S58" i="5"/>
  <c r="T58" i="5" s="1"/>
  <c r="S57" i="5"/>
  <c r="T57" i="5" s="1"/>
  <c r="S56" i="5"/>
  <c r="T56" i="5" s="1"/>
  <c r="S55" i="5"/>
  <c r="T55" i="5" s="1"/>
  <c r="S54" i="5"/>
  <c r="T54" i="5" s="1"/>
  <c r="S53" i="5"/>
  <c r="T53" i="5" s="1"/>
  <c r="S52" i="5"/>
  <c r="T52" i="5" s="1"/>
  <c r="S51" i="5"/>
  <c r="T51" i="5" s="1"/>
  <c r="S50" i="5"/>
  <c r="T50" i="5" s="1"/>
  <c r="S49" i="5"/>
  <c r="T49" i="5" s="1"/>
  <c r="S48" i="5"/>
  <c r="T48" i="5" s="1"/>
  <c r="S47" i="5"/>
  <c r="T47" i="5" s="1"/>
  <c r="S46" i="5"/>
  <c r="T46" i="5" s="1"/>
  <c r="S45" i="5"/>
  <c r="T45" i="5" s="1"/>
  <c r="S44" i="5"/>
  <c r="T44" i="5" s="1"/>
  <c r="S43" i="5"/>
  <c r="T43" i="5" s="1"/>
  <c r="S42" i="5"/>
  <c r="T42" i="5" s="1"/>
  <c r="S41" i="5"/>
  <c r="T41" i="5" s="1"/>
  <c r="S40" i="5"/>
  <c r="T40" i="5" s="1"/>
  <c r="S39" i="5"/>
  <c r="T39" i="5" s="1"/>
  <c r="S38" i="5"/>
  <c r="T38" i="5" s="1"/>
  <c r="S37" i="5"/>
  <c r="T37" i="5" s="1"/>
  <c r="S36" i="5"/>
  <c r="T36" i="5" s="1"/>
  <c r="S35" i="5"/>
  <c r="T35" i="5" s="1"/>
  <c r="C40" i="5" l="1"/>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8" i="10" l="1"/>
  <c r="C120" i="9"/>
  <c r="C119" i="9"/>
  <c r="C118" i="9"/>
  <c r="C117" i="9"/>
  <c r="C116" i="9"/>
  <c r="C115" i="9"/>
  <c r="C114" i="9"/>
  <c r="C113" i="9"/>
  <c r="C112" i="9"/>
  <c r="C111" i="9"/>
  <c r="C110" i="9"/>
  <c r="C109" i="9"/>
  <c r="C108" i="9"/>
  <c r="C107" i="9"/>
  <c r="C106" i="9"/>
  <c r="C105" i="9"/>
  <c r="C104" i="9"/>
  <c r="C103" i="9"/>
  <c r="C102" i="9"/>
  <c r="C101" i="9"/>
  <c r="C100" i="9"/>
  <c r="C99" i="9"/>
  <c r="C98" i="9"/>
  <c r="C97" i="9"/>
  <c r="C96" i="9"/>
  <c r="C95" i="9"/>
  <c r="C94" i="9"/>
  <c r="C93" i="9"/>
  <c r="C92" i="9"/>
  <c r="C91" i="9"/>
  <c r="K121" i="5" l="1"/>
  <c r="K122" i="5"/>
  <c r="K123" i="5"/>
  <c r="K124" i="5"/>
  <c r="K125" i="5"/>
  <c r="K126" i="5"/>
  <c r="K127" i="5"/>
  <c r="K128" i="5"/>
  <c r="K129" i="5"/>
  <c r="K130" i="5"/>
  <c r="K131" i="5"/>
  <c r="K132" i="5"/>
  <c r="K133" i="5"/>
  <c r="K105" i="5"/>
  <c r="K106" i="5"/>
  <c r="K107" i="5"/>
  <c r="K108" i="5"/>
  <c r="K109" i="5"/>
  <c r="K110" i="5"/>
  <c r="K111" i="5"/>
  <c r="K112" i="5"/>
  <c r="K113" i="5"/>
  <c r="K114" i="5"/>
  <c r="K115" i="5"/>
  <c r="K116" i="5"/>
  <c r="K117" i="5"/>
  <c r="K118" i="5"/>
  <c r="K119" i="5"/>
  <c r="K120" i="5"/>
  <c r="K75" i="5"/>
  <c r="K76" i="5"/>
  <c r="K77" i="5"/>
  <c r="K78" i="5"/>
  <c r="K79" i="5"/>
  <c r="K80" i="5"/>
  <c r="K81" i="5"/>
  <c r="K82" i="5"/>
  <c r="K83" i="5"/>
  <c r="K84" i="5"/>
  <c r="K85" i="5"/>
  <c r="K86" i="5"/>
  <c r="K87" i="5"/>
  <c r="K88" i="5"/>
  <c r="K89" i="5"/>
  <c r="K90" i="5"/>
  <c r="K91" i="5"/>
  <c r="K92" i="5"/>
  <c r="K93" i="5"/>
  <c r="K94" i="5"/>
  <c r="K95" i="5"/>
  <c r="K96" i="5"/>
  <c r="K97" i="5"/>
  <c r="K98" i="5"/>
  <c r="K99" i="5"/>
  <c r="K100" i="5"/>
  <c r="K101" i="5"/>
  <c r="K102" i="5"/>
  <c r="K103" i="5"/>
  <c r="K104" i="5"/>
  <c r="K36" i="5"/>
  <c r="K37" i="5"/>
  <c r="K38" i="5"/>
  <c r="K39" i="5"/>
  <c r="K40" i="5"/>
  <c r="K41" i="5"/>
  <c r="K42" i="5"/>
  <c r="K43" i="5"/>
  <c r="K44" i="5"/>
  <c r="K45" i="5"/>
  <c r="K46" i="5"/>
  <c r="K47" i="5"/>
  <c r="K48" i="5"/>
  <c r="K49" i="5"/>
  <c r="K50" i="5"/>
  <c r="K51" i="5"/>
  <c r="K52" i="5"/>
  <c r="K53" i="5"/>
  <c r="K54" i="5"/>
  <c r="K55" i="5"/>
  <c r="K56" i="5"/>
  <c r="K57" i="5"/>
  <c r="K58" i="5"/>
  <c r="K59" i="5"/>
  <c r="K60" i="5"/>
  <c r="K61" i="5"/>
  <c r="K62" i="5"/>
  <c r="K63" i="5"/>
  <c r="K64" i="5"/>
  <c r="K65" i="5"/>
  <c r="K66" i="5"/>
  <c r="K67" i="5"/>
  <c r="K68" i="5"/>
  <c r="K69" i="5"/>
  <c r="K70" i="5"/>
  <c r="K71" i="5"/>
  <c r="K72" i="5"/>
  <c r="K73" i="5"/>
  <c r="K74" i="5"/>
  <c r="Q96" i="6"/>
  <c r="P96" i="6"/>
  <c r="O96" i="6"/>
  <c r="N96" i="6"/>
  <c r="L96" i="6"/>
  <c r="K96" i="6"/>
  <c r="J96" i="6"/>
  <c r="I96" i="6"/>
  <c r="H96" i="6"/>
  <c r="G96" i="6"/>
  <c r="F96" i="6"/>
  <c r="E96" i="6"/>
  <c r="R95" i="6"/>
  <c r="K95" i="6"/>
  <c r="J95" i="6"/>
  <c r="I95" i="6"/>
  <c r="H95" i="6"/>
  <c r="G95" i="6"/>
  <c r="F95" i="6"/>
  <c r="E95" i="6"/>
  <c r="R94" i="6"/>
  <c r="K94" i="6"/>
  <c r="J94" i="6"/>
  <c r="I94" i="6"/>
  <c r="H94" i="6"/>
  <c r="G94" i="6"/>
  <c r="F94" i="6"/>
  <c r="E94" i="6"/>
  <c r="R93" i="6"/>
  <c r="K93" i="6"/>
  <c r="Q100" i="6"/>
  <c r="P100" i="6"/>
  <c r="O100" i="6"/>
  <c r="N100" i="6"/>
  <c r="L100" i="6"/>
  <c r="K100" i="6"/>
  <c r="J100" i="6"/>
  <c r="I100" i="6"/>
  <c r="H100" i="6"/>
  <c r="G100" i="6"/>
  <c r="F100" i="6"/>
  <c r="E100" i="6"/>
  <c r="R99" i="6"/>
  <c r="K99" i="6"/>
  <c r="J99" i="6"/>
  <c r="I99" i="6"/>
  <c r="H99" i="6"/>
  <c r="G99" i="6"/>
  <c r="F99" i="6"/>
  <c r="E99" i="6"/>
  <c r="R98" i="6"/>
  <c r="K98" i="6"/>
  <c r="J98" i="6"/>
  <c r="I98" i="6"/>
  <c r="H98" i="6"/>
  <c r="G98" i="6"/>
  <c r="F98" i="6"/>
  <c r="E98" i="6"/>
  <c r="R97" i="6"/>
  <c r="K97" i="6"/>
  <c r="Q104" i="6"/>
  <c r="P104" i="6"/>
  <c r="O104" i="6"/>
  <c r="N104" i="6"/>
  <c r="L104" i="6"/>
  <c r="K104" i="6"/>
  <c r="J104" i="6"/>
  <c r="I104" i="6"/>
  <c r="H104" i="6"/>
  <c r="G104" i="6"/>
  <c r="F104" i="6"/>
  <c r="E104" i="6"/>
  <c r="R103" i="6"/>
  <c r="K103" i="6"/>
  <c r="J103" i="6"/>
  <c r="I103" i="6"/>
  <c r="H103" i="6"/>
  <c r="G103" i="6"/>
  <c r="F103" i="6"/>
  <c r="E103" i="6"/>
  <c r="R102" i="6"/>
  <c r="K102" i="6"/>
  <c r="J102" i="6"/>
  <c r="I102" i="6"/>
  <c r="H102" i="6"/>
  <c r="G102" i="6"/>
  <c r="F102" i="6"/>
  <c r="E102" i="6"/>
  <c r="R101" i="6"/>
  <c r="K101" i="6"/>
  <c r="Q108" i="6"/>
  <c r="P108" i="6"/>
  <c r="O108" i="6"/>
  <c r="N108" i="6"/>
  <c r="L108" i="6"/>
  <c r="K108" i="6"/>
  <c r="J108" i="6"/>
  <c r="I108" i="6"/>
  <c r="H108" i="6"/>
  <c r="G108" i="6"/>
  <c r="F108" i="6"/>
  <c r="E108" i="6"/>
  <c r="R107" i="6"/>
  <c r="K107" i="6"/>
  <c r="J107" i="6"/>
  <c r="I107" i="6"/>
  <c r="H107" i="6"/>
  <c r="G107" i="6"/>
  <c r="F107" i="6"/>
  <c r="E107" i="6"/>
  <c r="R106" i="6"/>
  <c r="K106" i="6"/>
  <c r="J106" i="6"/>
  <c r="I106" i="6"/>
  <c r="H106" i="6"/>
  <c r="G106" i="6"/>
  <c r="F106" i="6"/>
  <c r="E106" i="6"/>
  <c r="R105" i="6"/>
  <c r="K105" i="6"/>
  <c r="Q112" i="6"/>
  <c r="P112" i="6"/>
  <c r="O112" i="6"/>
  <c r="N112" i="6"/>
  <c r="L112" i="6"/>
  <c r="K112" i="6"/>
  <c r="J112" i="6"/>
  <c r="I112" i="6"/>
  <c r="H112" i="6"/>
  <c r="G112" i="6"/>
  <c r="F112" i="6"/>
  <c r="E112" i="6"/>
  <c r="R111" i="6"/>
  <c r="K111" i="6"/>
  <c r="J111" i="6"/>
  <c r="I111" i="6"/>
  <c r="H111" i="6"/>
  <c r="G111" i="6"/>
  <c r="F111" i="6"/>
  <c r="E111" i="6"/>
  <c r="R110" i="6"/>
  <c r="K110" i="6"/>
  <c r="J110" i="6"/>
  <c r="I110" i="6"/>
  <c r="H110" i="6"/>
  <c r="G110" i="6"/>
  <c r="F110" i="6"/>
  <c r="E110" i="6"/>
  <c r="R109" i="6"/>
  <c r="K109" i="6"/>
  <c r="Q116" i="6"/>
  <c r="P116" i="6"/>
  <c r="O116" i="6"/>
  <c r="N116" i="6"/>
  <c r="L116" i="6"/>
  <c r="K116" i="6"/>
  <c r="J116" i="6"/>
  <c r="I116" i="6"/>
  <c r="H116" i="6"/>
  <c r="G116" i="6"/>
  <c r="F116" i="6"/>
  <c r="E116" i="6"/>
  <c r="R115" i="6"/>
  <c r="K115" i="6"/>
  <c r="J115" i="6"/>
  <c r="I115" i="6"/>
  <c r="H115" i="6"/>
  <c r="G115" i="6"/>
  <c r="F115" i="6"/>
  <c r="E115" i="6"/>
  <c r="R114" i="6"/>
  <c r="K114" i="6"/>
  <c r="J114" i="6"/>
  <c r="I114" i="6"/>
  <c r="H114" i="6"/>
  <c r="G114" i="6"/>
  <c r="F114" i="6"/>
  <c r="E114" i="6"/>
  <c r="R113" i="6"/>
  <c r="K113" i="6"/>
  <c r="Q120" i="6"/>
  <c r="P120" i="6"/>
  <c r="O120" i="6"/>
  <c r="N120" i="6"/>
  <c r="L120" i="6"/>
  <c r="K120" i="6"/>
  <c r="J120" i="6"/>
  <c r="I120" i="6"/>
  <c r="H120" i="6"/>
  <c r="G120" i="6"/>
  <c r="F120" i="6"/>
  <c r="E120" i="6"/>
  <c r="R119" i="6"/>
  <c r="K119" i="6"/>
  <c r="J119" i="6"/>
  <c r="I119" i="6"/>
  <c r="H119" i="6"/>
  <c r="G119" i="6"/>
  <c r="F119" i="6"/>
  <c r="E119" i="6"/>
  <c r="R118" i="6"/>
  <c r="K118" i="6"/>
  <c r="J118" i="6"/>
  <c r="I118" i="6"/>
  <c r="H118" i="6"/>
  <c r="G118" i="6"/>
  <c r="F118" i="6"/>
  <c r="E118" i="6"/>
  <c r="R117" i="6"/>
  <c r="K117" i="6"/>
  <c r="Q124" i="6"/>
  <c r="P124" i="6"/>
  <c r="O124" i="6"/>
  <c r="N124" i="6"/>
  <c r="L124" i="6"/>
  <c r="K124" i="6"/>
  <c r="J124" i="6"/>
  <c r="I124" i="6"/>
  <c r="H124" i="6"/>
  <c r="G124" i="6"/>
  <c r="F124" i="6"/>
  <c r="E124" i="6"/>
  <c r="R123" i="6"/>
  <c r="K123" i="6"/>
  <c r="J123" i="6"/>
  <c r="I123" i="6"/>
  <c r="H123" i="6"/>
  <c r="G123" i="6"/>
  <c r="F123" i="6"/>
  <c r="E123" i="6"/>
  <c r="R122" i="6"/>
  <c r="K122" i="6"/>
  <c r="J122" i="6"/>
  <c r="I122" i="6"/>
  <c r="H122" i="6"/>
  <c r="G122" i="6"/>
  <c r="F122" i="6"/>
  <c r="E122" i="6"/>
  <c r="R121" i="6"/>
  <c r="K121" i="6"/>
  <c r="Q128" i="6"/>
  <c r="P128" i="6"/>
  <c r="O128" i="6"/>
  <c r="N128" i="6"/>
  <c r="L128" i="6"/>
  <c r="K128" i="6"/>
  <c r="J128" i="6"/>
  <c r="I128" i="6"/>
  <c r="H128" i="6"/>
  <c r="G128" i="6"/>
  <c r="F128" i="6"/>
  <c r="E128" i="6"/>
  <c r="R127" i="6"/>
  <c r="K127" i="6"/>
  <c r="J127" i="6"/>
  <c r="I127" i="6"/>
  <c r="H127" i="6"/>
  <c r="G127" i="6"/>
  <c r="F127" i="6"/>
  <c r="E127" i="6"/>
  <c r="R126" i="6"/>
  <c r="K126" i="6"/>
  <c r="J126" i="6"/>
  <c r="I126" i="6"/>
  <c r="H126" i="6"/>
  <c r="G126" i="6"/>
  <c r="F126" i="6"/>
  <c r="E126" i="6"/>
  <c r="R125" i="6"/>
  <c r="K125" i="6"/>
  <c r="Q92" i="6"/>
  <c r="P92" i="6"/>
  <c r="O92" i="6"/>
  <c r="N92" i="6"/>
  <c r="L92" i="6"/>
  <c r="K92" i="6"/>
  <c r="J92" i="6"/>
  <c r="I92" i="6"/>
  <c r="H92" i="6"/>
  <c r="G92" i="6"/>
  <c r="F92" i="6"/>
  <c r="E92" i="6"/>
  <c r="R91" i="6"/>
  <c r="K91" i="6"/>
  <c r="J91" i="6"/>
  <c r="I91" i="6"/>
  <c r="H91" i="6"/>
  <c r="G91" i="6"/>
  <c r="F91" i="6"/>
  <c r="E91" i="6"/>
  <c r="R90" i="6"/>
  <c r="K90" i="6"/>
  <c r="J90" i="6"/>
  <c r="I90" i="6"/>
  <c r="H90" i="6"/>
  <c r="G90" i="6"/>
  <c r="F90" i="6"/>
  <c r="E90" i="6"/>
  <c r="R89" i="6"/>
  <c r="K89" i="6"/>
  <c r="Q88" i="6"/>
  <c r="P88" i="6"/>
  <c r="O88" i="6"/>
  <c r="N88" i="6"/>
  <c r="L88" i="6"/>
  <c r="K88" i="6"/>
  <c r="J88" i="6"/>
  <c r="I88" i="6"/>
  <c r="H88" i="6"/>
  <c r="G88" i="6"/>
  <c r="F88" i="6"/>
  <c r="E88" i="6"/>
  <c r="R87" i="6"/>
  <c r="K87" i="6"/>
  <c r="J87" i="6"/>
  <c r="I87" i="6"/>
  <c r="H87" i="6"/>
  <c r="G87" i="6"/>
  <c r="F87" i="6"/>
  <c r="E87" i="6"/>
  <c r="R86" i="6"/>
  <c r="K86" i="6"/>
  <c r="J86" i="6"/>
  <c r="I86" i="6"/>
  <c r="H86" i="6"/>
  <c r="G86" i="6"/>
  <c r="F86" i="6"/>
  <c r="E86" i="6"/>
  <c r="R85" i="6"/>
  <c r="K85" i="6"/>
  <c r="Q36" i="6"/>
  <c r="P36" i="6"/>
  <c r="O36" i="6"/>
  <c r="N36" i="6"/>
  <c r="L36" i="6"/>
  <c r="K36" i="6"/>
  <c r="J36" i="6"/>
  <c r="I36" i="6"/>
  <c r="H36" i="6"/>
  <c r="G36" i="6"/>
  <c r="F36" i="6"/>
  <c r="E36" i="6"/>
  <c r="R35" i="6"/>
  <c r="K35" i="6"/>
  <c r="J35" i="6"/>
  <c r="I35" i="6"/>
  <c r="H35" i="6"/>
  <c r="G35" i="6"/>
  <c r="F35" i="6"/>
  <c r="E35" i="6"/>
  <c r="R34" i="6"/>
  <c r="K34" i="6"/>
  <c r="J34" i="6"/>
  <c r="I34" i="6"/>
  <c r="H34" i="6"/>
  <c r="G34" i="6"/>
  <c r="F34" i="6"/>
  <c r="E34" i="6"/>
  <c r="R33" i="6"/>
  <c r="K33" i="6"/>
  <c r="R121" i="5"/>
  <c r="R122" i="5"/>
  <c r="R123" i="5"/>
  <c r="R124" i="5"/>
  <c r="R125" i="5"/>
  <c r="R126" i="5"/>
  <c r="R127" i="5"/>
  <c r="R128" i="5"/>
  <c r="R129" i="5"/>
  <c r="R130" i="5"/>
  <c r="R131" i="5"/>
  <c r="R132" i="5"/>
  <c r="R133" i="5"/>
  <c r="R105" i="5"/>
  <c r="R106" i="5"/>
  <c r="R107" i="5"/>
  <c r="R108" i="5"/>
  <c r="R109" i="5"/>
  <c r="R110" i="5"/>
  <c r="R111" i="5"/>
  <c r="R112" i="5"/>
  <c r="R113" i="5"/>
  <c r="R114" i="5"/>
  <c r="R115" i="5"/>
  <c r="R116" i="5"/>
  <c r="R117" i="5"/>
  <c r="R118" i="5"/>
  <c r="R119" i="5"/>
  <c r="R120" i="5"/>
  <c r="R91" i="5"/>
  <c r="R92" i="5"/>
  <c r="R93" i="5"/>
  <c r="R94" i="5"/>
  <c r="R95" i="5"/>
  <c r="R96" i="5"/>
  <c r="R97" i="5"/>
  <c r="R98" i="5"/>
  <c r="R99" i="5"/>
  <c r="R100" i="5"/>
  <c r="R101" i="5"/>
  <c r="R102" i="5"/>
  <c r="R103" i="5"/>
  <c r="R104" i="5"/>
  <c r="R35" i="5"/>
  <c r="R36" i="5"/>
  <c r="R37" i="5"/>
  <c r="R38" i="5"/>
  <c r="R39" i="5"/>
  <c r="R40" i="5"/>
  <c r="R41" i="5"/>
  <c r="R42" i="5"/>
  <c r="R43" i="5"/>
  <c r="R44" i="5"/>
  <c r="R45" i="5"/>
  <c r="R46" i="5"/>
  <c r="R47" i="5"/>
  <c r="R48" i="5"/>
  <c r="R49" i="5"/>
  <c r="R50" i="5"/>
  <c r="R51" i="5"/>
  <c r="R52" i="5"/>
  <c r="R53" i="5"/>
  <c r="R54" i="5"/>
  <c r="R55" i="5"/>
  <c r="R56" i="5"/>
  <c r="R57" i="5"/>
  <c r="R58" i="5"/>
  <c r="R59" i="5"/>
  <c r="R60" i="5"/>
  <c r="R61" i="5"/>
  <c r="R62" i="5"/>
  <c r="R63" i="5"/>
  <c r="R64" i="5"/>
  <c r="R65" i="5"/>
  <c r="R66" i="5"/>
  <c r="R67" i="5"/>
  <c r="R68" i="5"/>
  <c r="R69" i="5"/>
  <c r="R70" i="5"/>
  <c r="R71" i="5"/>
  <c r="R72" i="5"/>
  <c r="R73" i="5"/>
  <c r="R74" i="5"/>
  <c r="R75" i="5"/>
  <c r="R76" i="5"/>
  <c r="R77" i="5"/>
  <c r="R78" i="5"/>
  <c r="R79" i="5"/>
  <c r="R80" i="5"/>
  <c r="R81" i="5"/>
  <c r="R82" i="5"/>
  <c r="R83" i="5"/>
  <c r="R84" i="5"/>
  <c r="R85" i="5"/>
  <c r="R86" i="5"/>
  <c r="R87" i="5"/>
  <c r="R88" i="5"/>
  <c r="R89" i="5"/>
  <c r="R90" i="5"/>
  <c r="M124" i="4"/>
  <c r="C124" i="4" s="1"/>
  <c r="M130" i="4"/>
  <c r="C130" i="4" s="1"/>
  <c r="M131" i="4"/>
  <c r="C131" i="4" s="1"/>
  <c r="M132" i="4"/>
  <c r="C132" i="4" s="1"/>
  <c r="M128" i="4"/>
  <c r="C128" i="4" s="1"/>
  <c r="M129" i="4"/>
  <c r="C129" i="4" s="1"/>
  <c r="M121" i="4"/>
  <c r="C121" i="4" s="1"/>
  <c r="M122" i="4"/>
  <c r="C122" i="4" s="1"/>
  <c r="M123" i="4"/>
  <c r="C123" i="4" s="1"/>
  <c r="M125" i="4"/>
  <c r="C125" i="4" s="1"/>
  <c r="M126" i="4"/>
  <c r="C126" i="4" s="1"/>
  <c r="M127" i="4"/>
  <c r="C127" i="4" s="1"/>
  <c r="M111" i="4"/>
  <c r="C111" i="4" s="1"/>
  <c r="M112" i="4"/>
  <c r="C112" i="4" s="1"/>
  <c r="M113" i="4"/>
  <c r="C113" i="4" s="1"/>
  <c r="M114" i="4"/>
  <c r="C114" i="4" s="1"/>
  <c r="M115" i="4"/>
  <c r="C115" i="4" s="1"/>
  <c r="M116" i="4"/>
  <c r="C116" i="4" s="1"/>
  <c r="M117" i="4"/>
  <c r="C117" i="4" s="1"/>
  <c r="M118" i="4"/>
  <c r="C118" i="4" s="1"/>
  <c r="M119" i="4"/>
  <c r="C119" i="4" s="1"/>
  <c r="M120" i="4"/>
  <c r="C120" i="4" s="1"/>
  <c r="M78" i="4"/>
  <c r="C78" i="4" s="1"/>
  <c r="M79" i="4"/>
  <c r="C79" i="4" s="1"/>
  <c r="M80" i="4"/>
  <c r="C80" i="4" s="1"/>
  <c r="M81" i="4"/>
  <c r="C81" i="4" s="1"/>
  <c r="M82" i="4"/>
  <c r="C82" i="4" s="1"/>
  <c r="M83" i="4"/>
  <c r="C83" i="4" s="1"/>
  <c r="M84" i="4"/>
  <c r="C84" i="4" s="1"/>
  <c r="M85" i="4"/>
  <c r="C85" i="4" s="1"/>
  <c r="M86" i="4"/>
  <c r="C86" i="4" s="1"/>
  <c r="M87" i="4"/>
  <c r="C87" i="4" s="1"/>
  <c r="M88" i="4"/>
  <c r="C88" i="4" s="1"/>
  <c r="M89" i="4"/>
  <c r="C89" i="4" s="1"/>
  <c r="M90" i="4"/>
  <c r="C90" i="4" s="1"/>
  <c r="M91" i="4"/>
  <c r="C91" i="4" s="1"/>
  <c r="M92" i="4"/>
  <c r="C92" i="4" s="1"/>
  <c r="M93" i="4"/>
  <c r="C93" i="4" s="1"/>
  <c r="M94" i="4"/>
  <c r="C94" i="4" s="1"/>
  <c r="M95" i="4"/>
  <c r="C95" i="4" s="1"/>
  <c r="M96" i="4"/>
  <c r="C96" i="4" s="1"/>
  <c r="M97" i="4"/>
  <c r="C97" i="4" s="1"/>
  <c r="M98" i="4"/>
  <c r="C98" i="4" s="1"/>
  <c r="M99" i="4"/>
  <c r="C99" i="4" s="1"/>
  <c r="M100" i="4"/>
  <c r="C100" i="4" s="1"/>
  <c r="M101" i="4"/>
  <c r="C101" i="4" s="1"/>
  <c r="M102" i="4"/>
  <c r="C102" i="4" s="1"/>
  <c r="M103" i="4"/>
  <c r="C103" i="4" s="1"/>
  <c r="M104" i="4"/>
  <c r="C104" i="4" s="1"/>
  <c r="M105" i="4"/>
  <c r="C105" i="4" s="1"/>
  <c r="M106" i="4"/>
  <c r="C106" i="4" s="1"/>
  <c r="M107" i="4"/>
  <c r="C107" i="4" s="1"/>
  <c r="M108" i="4"/>
  <c r="C108" i="4" s="1"/>
  <c r="M109" i="4"/>
  <c r="C109" i="4" s="1"/>
  <c r="M110" i="4"/>
  <c r="C110" i="4" s="1"/>
  <c r="C35" i="4"/>
  <c r="M36" i="4"/>
  <c r="C36" i="4" s="1"/>
  <c r="M37" i="4"/>
  <c r="C37" i="4" s="1"/>
  <c r="M38" i="4"/>
  <c r="C38" i="4" s="1"/>
  <c r="M39" i="4"/>
  <c r="C39" i="4" s="1"/>
  <c r="M40" i="4"/>
  <c r="C40" i="4" s="1"/>
  <c r="M41" i="4"/>
  <c r="C41" i="4" s="1"/>
  <c r="M42" i="4"/>
  <c r="C42" i="4" s="1"/>
  <c r="M43" i="4"/>
  <c r="C43" i="4" s="1"/>
  <c r="M44" i="4"/>
  <c r="C44" i="4" s="1"/>
  <c r="M45" i="4"/>
  <c r="C45" i="4" s="1"/>
  <c r="M46" i="4"/>
  <c r="C46" i="4" s="1"/>
  <c r="M47" i="4"/>
  <c r="C47" i="4" s="1"/>
  <c r="M48" i="4"/>
  <c r="C48" i="4" s="1"/>
  <c r="M49" i="4"/>
  <c r="C49" i="4" s="1"/>
  <c r="M50" i="4"/>
  <c r="C50" i="4" s="1"/>
  <c r="M51" i="4"/>
  <c r="C51" i="4" s="1"/>
  <c r="M52" i="4"/>
  <c r="C52" i="4" s="1"/>
  <c r="M53" i="4"/>
  <c r="C53" i="4" s="1"/>
  <c r="M54" i="4"/>
  <c r="C54" i="4" s="1"/>
  <c r="M55" i="4"/>
  <c r="C55" i="4" s="1"/>
  <c r="M56" i="4"/>
  <c r="C56" i="4" s="1"/>
  <c r="M57" i="4"/>
  <c r="C57" i="4" s="1"/>
  <c r="M58" i="4"/>
  <c r="C58" i="4" s="1"/>
  <c r="M59" i="4"/>
  <c r="C59" i="4" s="1"/>
  <c r="M60" i="4"/>
  <c r="C60" i="4" s="1"/>
  <c r="M61" i="4"/>
  <c r="C61" i="4" s="1"/>
  <c r="M62" i="4"/>
  <c r="C62" i="4" s="1"/>
  <c r="M63" i="4"/>
  <c r="C63" i="4" s="1"/>
  <c r="M64" i="4"/>
  <c r="C64" i="4" s="1"/>
  <c r="M65" i="4"/>
  <c r="C65" i="4" s="1"/>
  <c r="M66" i="4"/>
  <c r="C66" i="4" s="1"/>
  <c r="M67" i="4"/>
  <c r="C67" i="4" s="1"/>
  <c r="M68" i="4"/>
  <c r="C68" i="4" s="1"/>
  <c r="M69" i="4"/>
  <c r="C69" i="4" s="1"/>
  <c r="M70" i="4"/>
  <c r="C70" i="4" s="1"/>
  <c r="M71" i="4"/>
  <c r="C71" i="4" s="1"/>
  <c r="M72" i="4"/>
  <c r="C72" i="4" s="1"/>
  <c r="M73" i="4"/>
  <c r="C73" i="4" s="1"/>
  <c r="M74" i="4"/>
  <c r="C74" i="4" s="1"/>
  <c r="M75" i="4"/>
  <c r="C75" i="4" s="1"/>
  <c r="M76" i="4"/>
  <c r="C76" i="4" s="1"/>
  <c r="M77" i="4"/>
  <c r="C77" i="4" s="1"/>
  <c r="R88" i="6" l="1"/>
  <c r="D85" i="6" s="1"/>
  <c r="D88" i="6" s="1"/>
  <c r="R120" i="6"/>
  <c r="D117" i="6" s="1"/>
  <c r="D120" i="6" s="1"/>
  <c r="R116" i="6"/>
  <c r="D113" i="6" s="1"/>
  <c r="D116" i="6" s="1"/>
  <c r="R112" i="6"/>
  <c r="D109" i="6" s="1"/>
  <c r="D112" i="6" s="1"/>
  <c r="R108" i="6"/>
  <c r="D105" i="6" s="1"/>
  <c r="D108" i="6" s="1"/>
  <c r="R104" i="6"/>
  <c r="D101" i="6" s="1"/>
  <c r="D104" i="6" s="1"/>
  <c r="R100" i="6"/>
  <c r="D97" i="6" s="1"/>
  <c r="D100" i="6" s="1"/>
  <c r="R96" i="6"/>
  <c r="D93" i="6" s="1"/>
  <c r="D96" i="6" s="1"/>
  <c r="R124" i="6"/>
  <c r="D121" i="6" s="1"/>
  <c r="D122" i="6" s="1"/>
  <c r="R128" i="6"/>
  <c r="R92" i="6"/>
  <c r="D89" i="6" s="1"/>
  <c r="D92" i="6" s="1"/>
  <c r="R36" i="6"/>
  <c r="D33" i="6" s="1"/>
  <c r="D87" i="6" l="1"/>
  <c r="D86" i="6"/>
  <c r="D107" i="6"/>
  <c r="D99" i="6"/>
  <c r="D95" i="6"/>
  <c r="D106" i="6"/>
  <c r="D115" i="6"/>
  <c r="D124" i="6"/>
  <c r="D114" i="6"/>
  <c r="D98" i="6"/>
  <c r="D123" i="6"/>
  <c r="D102" i="6"/>
  <c r="D119" i="6"/>
  <c r="D125" i="6"/>
  <c r="D128" i="6" s="1"/>
  <c r="D118" i="6"/>
  <c r="D91" i="6"/>
  <c r="D111" i="6"/>
  <c r="D94" i="6"/>
  <c r="D110" i="6"/>
  <c r="D90" i="6"/>
  <c r="D103" i="6"/>
  <c r="D126" i="6" l="1"/>
  <c r="D127" i="6"/>
  <c r="K17" i="8" l="1"/>
  <c r="K16" i="8"/>
  <c r="K15" i="8"/>
  <c r="L28" i="8"/>
  <c r="C28" i="8" s="1"/>
  <c r="L29" i="8"/>
  <c r="C29" i="8" s="1"/>
  <c r="L30" i="8"/>
  <c r="C30" i="8" s="1"/>
  <c r="L31" i="8"/>
  <c r="C31" i="8" s="1"/>
  <c r="L32" i="8"/>
  <c r="C32" i="8" s="1"/>
  <c r="L33" i="8"/>
  <c r="C33" i="8" s="1"/>
  <c r="L34" i="8"/>
  <c r="C34" i="8" s="1"/>
  <c r="L35" i="8"/>
  <c r="C35" i="8" s="1"/>
  <c r="L36" i="8"/>
  <c r="C36" i="8" s="1"/>
  <c r="L37" i="8"/>
  <c r="C37" i="8" s="1"/>
  <c r="L38" i="8"/>
  <c r="C38" i="8" s="1"/>
  <c r="L39" i="8"/>
  <c r="C39" i="8" s="1"/>
  <c r="L40" i="8"/>
  <c r="C40" i="8" s="1"/>
  <c r="L41" i="8"/>
  <c r="C41" i="8" s="1"/>
  <c r="L42" i="8"/>
  <c r="C42" i="8" s="1"/>
  <c r="L43" i="8"/>
  <c r="C43" i="8" s="1"/>
  <c r="L44" i="8"/>
  <c r="C44" i="8" s="1"/>
  <c r="L45" i="8"/>
  <c r="C45" i="8" s="1"/>
  <c r="L46" i="8"/>
  <c r="C46" i="8" s="1"/>
  <c r="L27" i="8"/>
  <c r="C27" i="8" s="1"/>
  <c r="J32" i="7"/>
  <c r="C32" i="7" s="1"/>
  <c r="J31" i="7"/>
  <c r="C31" i="7" s="1"/>
  <c r="J30" i="7"/>
  <c r="C30" i="7" s="1"/>
  <c r="J29" i="7"/>
  <c r="C29" i="7" s="1"/>
  <c r="J28" i="7"/>
  <c r="C28" i="7" s="1"/>
  <c r="K17" i="7"/>
  <c r="K16" i="7"/>
  <c r="K15" i="7"/>
  <c r="R83" i="6"/>
  <c r="R82" i="6"/>
  <c r="R81" i="6"/>
  <c r="R79" i="6"/>
  <c r="R78" i="6"/>
  <c r="R77" i="6"/>
  <c r="R75" i="6"/>
  <c r="R74" i="6"/>
  <c r="R73" i="6"/>
  <c r="R71" i="6"/>
  <c r="R70" i="6"/>
  <c r="R69" i="6"/>
  <c r="R67" i="6"/>
  <c r="R66" i="6"/>
  <c r="R65" i="6"/>
  <c r="R63" i="6"/>
  <c r="R62" i="6"/>
  <c r="R61" i="6"/>
  <c r="R59" i="6"/>
  <c r="R58" i="6"/>
  <c r="R57" i="6"/>
  <c r="R55" i="6"/>
  <c r="R54" i="6"/>
  <c r="R53" i="6"/>
  <c r="R51" i="6"/>
  <c r="R50" i="6"/>
  <c r="R49" i="6"/>
  <c r="R47" i="6"/>
  <c r="R46" i="6"/>
  <c r="R45" i="6"/>
  <c r="R43" i="6"/>
  <c r="R42" i="6"/>
  <c r="R41" i="6"/>
  <c r="R39" i="6"/>
  <c r="R38" i="6"/>
  <c r="R37" i="6"/>
  <c r="R31" i="6"/>
  <c r="R30" i="6"/>
  <c r="K16" i="6"/>
  <c r="K15" i="6"/>
  <c r="K17" i="5"/>
  <c r="K16" i="5"/>
  <c r="K15" i="5"/>
  <c r="C34" i="4"/>
  <c r="K17" i="4"/>
  <c r="K16" i="4"/>
  <c r="K15" i="4"/>
  <c r="D40" i="3" l="1"/>
  <c r="H7" i="12" s="1"/>
  <c r="B6" i="4"/>
  <c r="B6" i="5"/>
  <c r="B6" i="6"/>
  <c r="B6" i="7"/>
  <c r="B6" i="8"/>
  <c r="B6" i="9"/>
  <c r="B6" i="10"/>
  <c r="B6" i="11"/>
  <c r="B5" i="4"/>
  <c r="B5" i="5"/>
  <c r="B5" i="6"/>
  <c r="B5" i="7"/>
  <c r="B5" i="8"/>
  <c r="B5" i="9"/>
  <c r="B5" i="10"/>
  <c r="B5" i="11"/>
  <c r="F20" i="7" l="1"/>
  <c r="F21" i="7" s="1"/>
  <c r="J21" i="5"/>
  <c r="J22" i="5" s="1"/>
  <c r="E35" i="3" s="1"/>
  <c r="I21" i="5"/>
  <c r="I22" i="5" s="1"/>
  <c r="E34" i="3" s="1"/>
  <c r="H21" i="5"/>
  <c r="H22" i="5" s="1"/>
  <c r="E33" i="3" s="1"/>
  <c r="G21" i="5"/>
  <c r="K21" i="5" l="1"/>
  <c r="G31" i="3"/>
  <c r="G22" i="5"/>
  <c r="E32" i="3" l="1"/>
  <c r="K22" i="5"/>
  <c r="E31" i="3"/>
  <c r="E36" i="3" l="1"/>
  <c r="I25" i="4"/>
  <c r="H25" i="4"/>
  <c r="G25" i="4"/>
  <c r="I27" i="4" l="1"/>
  <c r="D34" i="3" s="1"/>
  <c r="I26" i="4"/>
  <c r="H27" i="4"/>
  <c r="H26" i="4"/>
  <c r="G27" i="4"/>
  <c r="D32" i="3" s="1"/>
  <c r="G26" i="4"/>
  <c r="K25" i="4"/>
  <c r="D35" i="3"/>
  <c r="K27" i="4" l="1"/>
  <c r="K26" i="4"/>
  <c r="E28" i="14"/>
  <c r="D36" i="3" l="1"/>
  <c r="G9" i="10" l="1"/>
  <c r="G9" i="9"/>
  <c r="G9" i="8"/>
  <c r="G9" i="7"/>
  <c r="D9" i="10"/>
  <c r="D9" i="9"/>
  <c r="D9" i="8"/>
  <c r="D9" i="5"/>
  <c r="C71" i="14"/>
  <c r="B71" i="14"/>
  <c r="E71" i="14" s="1"/>
  <c r="E70" i="14"/>
  <c r="C69" i="14"/>
  <c r="B69" i="14"/>
  <c r="E69" i="14" s="1"/>
  <c r="C36" i="5" l="1"/>
  <c r="C37" i="5"/>
  <c r="C38" i="5"/>
  <c r="C39" i="5"/>
  <c r="C41" i="5"/>
  <c r="C42" i="5"/>
  <c r="C43" i="5"/>
  <c r="C35" i="5"/>
  <c r="C34" i="5"/>
  <c r="L84" i="6"/>
  <c r="L80" i="6"/>
  <c r="L76" i="6"/>
  <c r="L72" i="6"/>
  <c r="L68" i="6"/>
  <c r="L64" i="6"/>
  <c r="L60" i="6"/>
  <c r="L56" i="6"/>
  <c r="L52" i="6"/>
  <c r="L48" i="6"/>
  <c r="L44" i="6"/>
  <c r="L40" i="6"/>
  <c r="Q84" i="6"/>
  <c r="P84" i="6"/>
  <c r="O84" i="6"/>
  <c r="N84" i="6"/>
  <c r="Q80" i="6"/>
  <c r="P80" i="6"/>
  <c r="O80" i="6"/>
  <c r="N80" i="6"/>
  <c r="Q76" i="6"/>
  <c r="P76" i="6"/>
  <c r="O76" i="6"/>
  <c r="N76" i="6"/>
  <c r="Q72" i="6"/>
  <c r="P72" i="6"/>
  <c r="O72" i="6"/>
  <c r="N72" i="6"/>
  <c r="Q68" i="6"/>
  <c r="P68" i="6"/>
  <c r="O68" i="6"/>
  <c r="N68" i="6"/>
  <c r="Q64" i="6"/>
  <c r="P64" i="6"/>
  <c r="O64" i="6"/>
  <c r="N64" i="6"/>
  <c r="Q60" i="6"/>
  <c r="P60" i="6"/>
  <c r="O60" i="6"/>
  <c r="N60" i="6"/>
  <c r="Q56" i="6"/>
  <c r="P56" i="6"/>
  <c r="O56" i="6"/>
  <c r="N56" i="6"/>
  <c r="Q52" i="6"/>
  <c r="P52" i="6"/>
  <c r="O52" i="6"/>
  <c r="N52" i="6"/>
  <c r="Q48" i="6"/>
  <c r="P48" i="6"/>
  <c r="O48" i="6"/>
  <c r="N48" i="6"/>
  <c r="Q44" i="6"/>
  <c r="P44" i="6"/>
  <c r="O44" i="6"/>
  <c r="N44" i="6"/>
  <c r="Q40" i="6"/>
  <c r="P40" i="6"/>
  <c r="O40" i="6"/>
  <c r="N40" i="6"/>
  <c r="J32" i="6"/>
  <c r="J30" i="6"/>
  <c r="J31" i="6" s="1"/>
  <c r="I32" i="6"/>
  <c r="I31" i="6"/>
  <c r="I30" i="6"/>
  <c r="H32" i="6"/>
  <c r="H31" i="6"/>
  <c r="H30" i="6"/>
  <c r="G32" i="6"/>
  <c r="G31" i="6"/>
  <c r="G30" i="6"/>
  <c r="F32" i="6"/>
  <c r="F31" i="6"/>
  <c r="F30" i="6"/>
  <c r="E32" i="6"/>
  <c r="E31" i="6"/>
  <c r="E30" i="6"/>
  <c r="Q32" i="6"/>
  <c r="P32" i="6"/>
  <c r="O32" i="6"/>
  <c r="K84" i="6"/>
  <c r="J84" i="6"/>
  <c r="I84" i="6"/>
  <c r="H84" i="6"/>
  <c r="G84" i="6"/>
  <c r="F84" i="6"/>
  <c r="E84" i="6"/>
  <c r="K83" i="6"/>
  <c r="J83" i="6"/>
  <c r="I83" i="6"/>
  <c r="H83" i="6"/>
  <c r="G83" i="6"/>
  <c r="F83" i="6"/>
  <c r="E83" i="6"/>
  <c r="K82" i="6"/>
  <c r="J82" i="6"/>
  <c r="I82" i="6"/>
  <c r="H82" i="6"/>
  <c r="G82" i="6"/>
  <c r="F82" i="6"/>
  <c r="E82" i="6"/>
  <c r="K81" i="6"/>
  <c r="K80" i="6"/>
  <c r="J80" i="6"/>
  <c r="I80" i="6"/>
  <c r="H80" i="6"/>
  <c r="G80" i="6"/>
  <c r="F80" i="6"/>
  <c r="E80" i="6"/>
  <c r="K79" i="6"/>
  <c r="J79" i="6"/>
  <c r="I79" i="6"/>
  <c r="H79" i="6"/>
  <c r="G79" i="6"/>
  <c r="F79" i="6"/>
  <c r="E79" i="6"/>
  <c r="K78" i="6"/>
  <c r="J78" i="6"/>
  <c r="I78" i="6"/>
  <c r="H78" i="6"/>
  <c r="G78" i="6"/>
  <c r="F78" i="6"/>
  <c r="E78" i="6"/>
  <c r="K77" i="6"/>
  <c r="K76" i="6"/>
  <c r="J76" i="6"/>
  <c r="I76" i="6"/>
  <c r="H76" i="6"/>
  <c r="G76" i="6"/>
  <c r="F76" i="6"/>
  <c r="E76" i="6"/>
  <c r="K75" i="6"/>
  <c r="J75" i="6"/>
  <c r="I75" i="6"/>
  <c r="H75" i="6"/>
  <c r="G75" i="6"/>
  <c r="F75" i="6"/>
  <c r="E75" i="6"/>
  <c r="K74" i="6"/>
  <c r="J74" i="6"/>
  <c r="I74" i="6"/>
  <c r="H74" i="6"/>
  <c r="G74" i="6"/>
  <c r="F74" i="6"/>
  <c r="E74" i="6"/>
  <c r="K73" i="6"/>
  <c r="K72" i="6"/>
  <c r="J72" i="6"/>
  <c r="I72" i="6"/>
  <c r="H72" i="6"/>
  <c r="G72" i="6"/>
  <c r="F72" i="6"/>
  <c r="E72" i="6"/>
  <c r="K71" i="6"/>
  <c r="J71" i="6"/>
  <c r="I71" i="6"/>
  <c r="H71" i="6"/>
  <c r="G71" i="6"/>
  <c r="F71" i="6"/>
  <c r="E71" i="6"/>
  <c r="K70" i="6"/>
  <c r="J70" i="6"/>
  <c r="I70" i="6"/>
  <c r="H70" i="6"/>
  <c r="G70" i="6"/>
  <c r="F70" i="6"/>
  <c r="E70" i="6"/>
  <c r="K69" i="6"/>
  <c r="K68" i="6"/>
  <c r="J68" i="6"/>
  <c r="I68" i="6"/>
  <c r="H68" i="6"/>
  <c r="G68" i="6"/>
  <c r="F68" i="6"/>
  <c r="E68" i="6"/>
  <c r="K67" i="6"/>
  <c r="J67" i="6"/>
  <c r="I67" i="6"/>
  <c r="H67" i="6"/>
  <c r="G67" i="6"/>
  <c r="F67" i="6"/>
  <c r="E67" i="6"/>
  <c r="K66" i="6"/>
  <c r="J66" i="6"/>
  <c r="I66" i="6"/>
  <c r="H66" i="6"/>
  <c r="G66" i="6"/>
  <c r="F66" i="6"/>
  <c r="E66" i="6"/>
  <c r="K65" i="6"/>
  <c r="K64" i="6"/>
  <c r="J64" i="6"/>
  <c r="I64" i="6"/>
  <c r="H64" i="6"/>
  <c r="G64" i="6"/>
  <c r="F64" i="6"/>
  <c r="E64" i="6"/>
  <c r="K63" i="6"/>
  <c r="J63" i="6"/>
  <c r="I63" i="6"/>
  <c r="H63" i="6"/>
  <c r="G63" i="6"/>
  <c r="F63" i="6"/>
  <c r="E63" i="6"/>
  <c r="K62" i="6"/>
  <c r="J62" i="6"/>
  <c r="I62" i="6"/>
  <c r="H62" i="6"/>
  <c r="G62" i="6"/>
  <c r="F62" i="6"/>
  <c r="E62" i="6"/>
  <c r="K61" i="6"/>
  <c r="K60" i="6"/>
  <c r="J60" i="6"/>
  <c r="I60" i="6"/>
  <c r="H60" i="6"/>
  <c r="G60" i="6"/>
  <c r="F60" i="6"/>
  <c r="E60" i="6"/>
  <c r="K59" i="6"/>
  <c r="J59" i="6"/>
  <c r="I59" i="6"/>
  <c r="H59" i="6"/>
  <c r="G59" i="6"/>
  <c r="F59" i="6"/>
  <c r="E59" i="6"/>
  <c r="K58" i="6"/>
  <c r="J58" i="6"/>
  <c r="I58" i="6"/>
  <c r="H58" i="6"/>
  <c r="G58" i="6"/>
  <c r="F58" i="6"/>
  <c r="E58" i="6"/>
  <c r="K57" i="6"/>
  <c r="K56" i="6"/>
  <c r="J56" i="6"/>
  <c r="I56" i="6"/>
  <c r="H56" i="6"/>
  <c r="G56" i="6"/>
  <c r="F56" i="6"/>
  <c r="E56" i="6"/>
  <c r="K55" i="6"/>
  <c r="J55" i="6"/>
  <c r="I55" i="6"/>
  <c r="H55" i="6"/>
  <c r="G55" i="6"/>
  <c r="F55" i="6"/>
  <c r="E55" i="6"/>
  <c r="K54" i="6"/>
  <c r="J54" i="6"/>
  <c r="I54" i="6"/>
  <c r="H54" i="6"/>
  <c r="G54" i="6"/>
  <c r="F54" i="6"/>
  <c r="E54" i="6"/>
  <c r="K53" i="6"/>
  <c r="K52" i="6"/>
  <c r="J52" i="6"/>
  <c r="I52" i="6"/>
  <c r="H52" i="6"/>
  <c r="G52" i="6"/>
  <c r="F52" i="6"/>
  <c r="E52" i="6"/>
  <c r="K51" i="6"/>
  <c r="J51" i="6"/>
  <c r="I51" i="6"/>
  <c r="H51" i="6"/>
  <c r="G51" i="6"/>
  <c r="F51" i="6"/>
  <c r="E51" i="6"/>
  <c r="K50" i="6"/>
  <c r="J50" i="6"/>
  <c r="I50" i="6"/>
  <c r="H50" i="6"/>
  <c r="G50" i="6"/>
  <c r="F50" i="6"/>
  <c r="E50" i="6"/>
  <c r="K49" i="6"/>
  <c r="K48" i="6"/>
  <c r="J48" i="6"/>
  <c r="I48" i="6"/>
  <c r="H48" i="6"/>
  <c r="G48" i="6"/>
  <c r="F48" i="6"/>
  <c r="E48" i="6"/>
  <c r="K47" i="6"/>
  <c r="J47" i="6"/>
  <c r="I47" i="6"/>
  <c r="H47" i="6"/>
  <c r="G47" i="6"/>
  <c r="F47" i="6"/>
  <c r="E47" i="6"/>
  <c r="K46" i="6"/>
  <c r="J46" i="6"/>
  <c r="I46" i="6"/>
  <c r="H46" i="6"/>
  <c r="G46" i="6"/>
  <c r="F46" i="6"/>
  <c r="E46" i="6"/>
  <c r="K45" i="6"/>
  <c r="K44" i="6"/>
  <c r="J44" i="6"/>
  <c r="I44" i="6"/>
  <c r="H44" i="6"/>
  <c r="G44" i="6"/>
  <c r="F44" i="6"/>
  <c r="E44" i="6"/>
  <c r="K43" i="6"/>
  <c r="J43" i="6"/>
  <c r="I43" i="6"/>
  <c r="H43" i="6"/>
  <c r="G43" i="6"/>
  <c r="F43" i="6"/>
  <c r="E43" i="6"/>
  <c r="K42" i="6"/>
  <c r="J42" i="6"/>
  <c r="I42" i="6"/>
  <c r="H42" i="6"/>
  <c r="G42" i="6"/>
  <c r="F42" i="6"/>
  <c r="E42" i="6"/>
  <c r="K41" i="6"/>
  <c r="K40" i="6"/>
  <c r="J40" i="6"/>
  <c r="I40" i="6"/>
  <c r="H40" i="6"/>
  <c r="G40" i="6"/>
  <c r="F40" i="6"/>
  <c r="E40" i="6"/>
  <c r="K39" i="6"/>
  <c r="J39" i="6"/>
  <c r="I39" i="6"/>
  <c r="H39" i="6"/>
  <c r="G39" i="6"/>
  <c r="F39" i="6"/>
  <c r="E39" i="6"/>
  <c r="K38" i="6"/>
  <c r="J38" i="6"/>
  <c r="I38" i="6"/>
  <c r="H38" i="6"/>
  <c r="G38" i="6"/>
  <c r="F38" i="6"/>
  <c r="E38" i="6"/>
  <c r="K37" i="6"/>
  <c r="F20" i="6" l="1"/>
  <c r="D41" i="3" s="1"/>
  <c r="F21" i="6"/>
  <c r="F19" i="6"/>
  <c r="D42" i="3" s="1"/>
  <c r="D36" i="6"/>
  <c r="D35" i="6"/>
  <c r="D34" i="6"/>
  <c r="R48" i="6"/>
  <c r="D45" i="6" s="1"/>
  <c r="D47" i="6" s="1"/>
  <c r="R80" i="6"/>
  <c r="D77" i="6" s="1"/>
  <c r="D80" i="6" s="1"/>
  <c r="R52" i="6"/>
  <c r="D49" i="6" s="1"/>
  <c r="D50" i="6" s="1"/>
  <c r="R84" i="6"/>
  <c r="D81" i="6" s="1"/>
  <c r="D84" i="6" s="1"/>
  <c r="R56" i="6"/>
  <c r="D53" i="6" s="1"/>
  <c r="D55" i="6" s="1"/>
  <c r="R60" i="6"/>
  <c r="D57" i="6" s="1"/>
  <c r="D58" i="6" s="1"/>
  <c r="R64" i="6"/>
  <c r="D61" i="6" s="1"/>
  <c r="D64" i="6" s="1"/>
  <c r="R68" i="6"/>
  <c r="D65" i="6" s="1"/>
  <c r="D68" i="6" s="1"/>
  <c r="R40" i="6"/>
  <c r="D37" i="6" s="1"/>
  <c r="D38" i="6" s="1"/>
  <c r="R72" i="6"/>
  <c r="D69" i="6" s="1"/>
  <c r="D70" i="6" s="1"/>
  <c r="R44" i="6"/>
  <c r="D41" i="6" s="1"/>
  <c r="D44" i="6" s="1"/>
  <c r="R76" i="6"/>
  <c r="D73" i="6" s="1"/>
  <c r="D76" i="6" s="1"/>
  <c r="R32" i="6"/>
  <c r="D29" i="6" s="1"/>
  <c r="F22" i="6" l="1"/>
  <c r="F23" i="6"/>
  <c r="D60" i="6"/>
  <c r="D62" i="6"/>
  <c r="D59" i="6"/>
  <c r="D40" i="6"/>
  <c r="D63" i="6"/>
  <c r="D79" i="6"/>
  <c r="D78" i="6"/>
  <c r="D66" i="6"/>
  <c r="D48" i="6"/>
  <c r="D46" i="6"/>
  <c r="D56" i="6"/>
  <c r="D75" i="6"/>
  <c r="D74" i="6"/>
  <c r="D43" i="6"/>
  <c r="D42" i="6"/>
  <c r="D51" i="6"/>
  <c r="D83" i="6"/>
  <c r="D72" i="6"/>
  <c r="D52" i="6"/>
  <c r="D71" i="6"/>
  <c r="D82" i="6"/>
  <c r="D39" i="6"/>
  <c r="D54" i="6"/>
  <c r="D67" i="6"/>
  <c r="K34" i="5"/>
  <c r="E28" i="5" s="1"/>
  <c r="I20" i="8" l="1"/>
  <c r="I21" i="8" s="1"/>
  <c r="J20" i="8"/>
  <c r="J21" i="8" s="1"/>
  <c r="J21" i="6" l="1"/>
  <c r="I21" i="6"/>
  <c r="H21" i="6"/>
  <c r="G21" i="6"/>
  <c r="K21" i="6" l="1"/>
  <c r="E11" i="14"/>
  <c r="E12" i="14"/>
  <c r="E13" i="14"/>
  <c r="E14" i="14"/>
  <c r="E15" i="14"/>
  <c r="E16" i="14"/>
  <c r="E17" i="14"/>
  <c r="E18" i="14"/>
  <c r="E19" i="14"/>
  <c r="E20" i="14"/>
  <c r="E21" i="14"/>
  <c r="E22" i="14"/>
  <c r="E23" i="14"/>
  <c r="E24" i="14"/>
  <c r="E25" i="14"/>
  <c r="E26" i="14"/>
  <c r="E27" i="14"/>
  <c r="E29" i="14"/>
  <c r="E30" i="14"/>
  <c r="E31" i="14"/>
  <c r="E32" i="14"/>
  <c r="E33" i="14"/>
  <c r="E34" i="14"/>
  <c r="E35" i="14"/>
  <c r="E36" i="14"/>
  <c r="E37" i="14"/>
  <c r="E38" i="14"/>
  <c r="E39" i="14"/>
  <c r="E40" i="14"/>
  <c r="E41" i="14"/>
  <c r="E42" i="14"/>
  <c r="E43" i="14"/>
  <c r="E44" i="14"/>
  <c r="E45" i="14"/>
  <c r="E46" i="14"/>
  <c r="E47" i="14"/>
  <c r="E48" i="14"/>
  <c r="E49" i="14"/>
  <c r="E50" i="14"/>
  <c r="E51" i="14"/>
  <c r="E52" i="14"/>
  <c r="E53" i="14"/>
  <c r="E54" i="14"/>
  <c r="E55" i="14"/>
  <c r="E56" i="14"/>
  <c r="E57" i="14"/>
  <c r="E58" i="14"/>
  <c r="E59" i="14"/>
  <c r="E60" i="14"/>
  <c r="E61" i="14"/>
  <c r="E62" i="14"/>
  <c r="E63" i="14"/>
  <c r="E64" i="14"/>
  <c r="E65" i="14"/>
  <c r="E66" i="14"/>
  <c r="E67" i="14"/>
  <c r="E10" i="14"/>
  <c r="G20" i="8" l="1"/>
  <c r="G21" i="8" s="1"/>
  <c r="H20" i="8"/>
  <c r="H34" i="3"/>
  <c r="H35" i="3"/>
  <c r="K20" i="8" l="1"/>
  <c r="H21" i="8"/>
  <c r="H33" i="3" s="1"/>
  <c r="H32" i="3"/>
  <c r="H31" i="3"/>
  <c r="G20" i="7"/>
  <c r="G21" i="7" s="1"/>
  <c r="H20" i="7"/>
  <c r="I20" i="7"/>
  <c r="J20" i="7"/>
  <c r="K21" i="8" l="1"/>
  <c r="J21" i="7"/>
  <c r="G35" i="3" s="1"/>
  <c r="I21" i="7"/>
  <c r="G34" i="3" s="1"/>
  <c r="H21" i="7"/>
  <c r="G33" i="3" s="1"/>
  <c r="H36" i="3"/>
  <c r="K20" i="7"/>
  <c r="G32" i="3"/>
  <c r="I54" i="10"/>
  <c r="C54" i="10" s="1"/>
  <c r="I53" i="10"/>
  <c r="C53" i="10" s="1"/>
  <c r="I52" i="10"/>
  <c r="C52" i="10" s="1"/>
  <c r="I51" i="10"/>
  <c r="C51" i="10" s="1"/>
  <c r="I50" i="10"/>
  <c r="C50" i="10" s="1"/>
  <c r="I49" i="10"/>
  <c r="C49" i="10" s="1"/>
  <c r="I48" i="10"/>
  <c r="C48" i="10" s="1"/>
  <c r="I47" i="10"/>
  <c r="C47" i="10" s="1"/>
  <c r="I46" i="10"/>
  <c r="C46" i="10" s="1"/>
  <c r="I45" i="10"/>
  <c r="C45" i="10" s="1"/>
  <c r="I44" i="10"/>
  <c r="C44" i="10" s="1"/>
  <c r="I43" i="10"/>
  <c r="C43" i="10" s="1"/>
  <c r="I42" i="10"/>
  <c r="C42" i="10" s="1"/>
  <c r="I41" i="10"/>
  <c r="C41" i="10" s="1"/>
  <c r="I40" i="10"/>
  <c r="C40" i="10" s="1"/>
  <c r="I39" i="10"/>
  <c r="C39" i="10" s="1"/>
  <c r="I38" i="10"/>
  <c r="C38" i="10" s="1"/>
  <c r="I37" i="10"/>
  <c r="C37" i="10" s="1"/>
  <c r="I36" i="10"/>
  <c r="C36" i="10" s="1"/>
  <c r="I35" i="10"/>
  <c r="C35" i="10" s="1"/>
  <c r="I34" i="10"/>
  <c r="C34" i="10" s="1"/>
  <c r="I33" i="10"/>
  <c r="C33" i="10" s="1"/>
  <c r="I32" i="10"/>
  <c r="C32" i="10" s="1"/>
  <c r="I31" i="10"/>
  <c r="C31" i="10" s="1"/>
  <c r="I30" i="10"/>
  <c r="C30" i="10" s="1"/>
  <c r="I29" i="10"/>
  <c r="C29" i="10" s="1"/>
  <c r="I28" i="10"/>
  <c r="C28" i="10" s="1"/>
  <c r="I27" i="10"/>
  <c r="C27" i="10" s="1"/>
  <c r="I26" i="10"/>
  <c r="C26" i="10" s="1"/>
  <c r="I25" i="10"/>
  <c r="C25" i="10" s="1"/>
  <c r="I24" i="10"/>
  <c r="C24" i="10" s="1"/>
  <c r="I23" i="10"/>
  <c r="C23" i="10" s="1"/>
  <c r="I22" i="10"/>
  <c r="C22" i="10" s="1"/>
  <c r="I21" i="10"/>
  <c r="C21" i="10" s="1"/>
  <c r="I20" i="10"/>
  <c r="C20" i="10" s="1"/>
  <c r="I19" i="10"/>
  <c r="C19" i="10" s="1"/>
  <c r="I17" i="10"/>
  <c r="C17" i="10" s="1"/>
  <c r="I16" i="10"/>
  <c r="C16" i="10" s="1"/>
  <c r="I15" i="10"/>
  <c r="C15" i="10" s="1"/>
  <c r="G36" i="3" l="1"/>
  <c r="K21" i="7"/>
  <c r="D32" i="6"/>
  <c r="D31" i="6"/>
  <c r="D30" i="6"/>
  <c r="G20" i="6"/>
  <c r="H19" i="6"/>
  <c r="I19" i="6"/>
  <c r="J19" i="6"/>
  <c r="J20" i="6"/>
  <c r="G19" i="6"/>
  <c r="H20" i="6"/>
  <c r="I20" i="6"/>
  <c r="H22" i="6" l="1"/>
  <c r="G23" i="6"/>
  <c r="K20" i="6"/>
  <c r="J23" i="6"/>
  <c r="F35" i="3" s="1"/>
  <c r="I35" i="3" s="1"/>
  <c r="H23" i="6"/>
  <c r="F33" i="3" s="1"/>
  <c r="I33" i="3" s="1"/>
  <c r="F32" i="3"/>
  <c r="I32" i="3" s="1"/>
  <c r="I23" i="6"/>
  <c r="F34" i="3" s="1"/>
  <c r="I34" i="3" s="1"/>
  <c r="F31" i="3"/>
  <c r="K19" i="6"/>
  <c r="I22" i="6"/>
  <c r="G22" i="6"/>
  <c r="K23" i="6" l="1"/>
  <c r="F36" i="3"/>
  <c r="I36" i="3" s="1"/>
  <c r="I31" i="3"/>
  <c r="J22" i="6" l="1"/>
  <c r="K22"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Windows User</author>
  </authors>
  <commentList>
    <comment ref="B4" authorId="0" shapeId="0" xr:uid="{00000000-0006-0000-1500-000001000000}">
      <text>
        <r>
          <rPr>
            <b/>
            <sz val="9"/>
            <color indexed="81"/>
            <rFont val="Tahoma"/>
            <family val="2"/>
          </rPr>
          <t>Update next year's SCO distribution here.</t>
        </r>
      </text>
    </comment>
  </commentList>
</comments>
</file>

<file path=xl/sharedStrings.xml><?xml version="1.0" encoding="utf-8"?>
<sst xmlns="http://schemas.openxmlformats.org/spreadsheetml/2006/main" count="1716" uniqueCount="890">
  <si>
    <t>County:</t>
  </si>
  <si>
    <t>Date:</t>
  </si>
  <si>
    <t>PEI Annual Planning Costs</t>
  </si>
  <si>
    <t>Prior Program Name</t>
  </si>
  <si>
    <t>Medi-Cal FFP</t>
  </si>
  <si>
    <t>1991 Realignment</t>
  </si>
  <si>
    <t>CSS Annual Planning Costs</t>
  </si>
  <si>
    <t>CSS Evaluation Costs</t>
  </si>
  <si>
    <t>Program Name</t>
  </si>
  <si>
    <t>County</t>
  </si>
  <si>
    <t>Project Name</t>
  </si>
  <si>
    <t>Project Start Date</t>
  </si>
  <si>
    <t>Other</t>
  </si>
  <si>
    <t>WET Annual Planning Costs</t>
  </si>
  <si>
    <t>WET Evaluation Costs</t>
  </si>
  <si>
    <t>Prior Project Name</t>
  </si>
  <si>
    <t>Project Type</t>
  </si>
  <si>
    <t>Funding Category</t>
  </si>
  <si>
    <t>Total Annual Planning Costs</t>
  </si>
  <si>
    <t>Total Evaluation Costs</t>
  </si>
  <si>
    <t>Total Administration</t>
  </si>
  <si>
    <t>TOTAL</t>
  </si>
  <si>
    <t>A</t>
  </si>
  <si>
    <t>B</t>
  </si>
  <si>
    <t>Behavioral Health Subaccount</t>
  </si>
  <si>
    <t>C</t>
  </si>
  <si>
    <t>CSS</t>
  </si>
  <si>
    <t>PEI</t>
  </si>
  <si>
    <t>INN</t>
  </si>
  <si>
    <t>WET</t>
  </si>
  <si>
    <t>CFTN</t>
  </si>
  <si>
    <t>WET RP</t>
  </si>
  <si>
    <t>MHSA HP</t>
  </si>
  <si>
    <t>PR</t>
  </si>
  <si>
    <t>Alameda</t>
  </si>
  <si>
    <t>Amador</t>
  </si>
  <si>
    <t>Berkeley City</t>
  </si>
  <si>
    <t>Butte</t>
  </si>
  <si>
    <t>Calaveras</t>
  </si>
  <si>
    <t>Colusa</t>
  </si>
  <si>
    <t>Contra Costa</t>
  </si>
  <si>
    <t>Del Norte</t>
  </si>
  <si>
    <t>El Dorado</t>
  </si>
  <si>
    <t>Fresno</t>
  </si>
  <si>
    <t>Glenn</t>
  </si>
  <si>
    <t>Humboldt</t>
  </si>
  <si>
    <t>Imperial</t>
  </si>
  <si>
    <t>Inyo</t>
  </si>
  <si>
    <t>Kern</t>
  </si>
  <si>
    <t>Kings</t>
  </si>
  <si>
    <t>Lake</t>
  </si>
  <si>
    <t>Lassen</t>
  </si>
  <si>
    <t>Los Angeles</t>
  </si>
  <si>
    <t>Madera</t>
  </si>
  <si>
    <t>Marin</t>
  </si>
  <si>
    <t>Mariposa</t>
  </si>
  <si>
    <t>Mendocino</t>
  </si>
  <si>
    <t>Merced</t>
  </si>
  <si>
    <t>Modoc</t>
  </si>
  <si>
    <t>Mono</t>
  </si>
  <si>
    <t>Monterey</t>
  </si>
  <si>
    <t>Napa</t>
  </si>
  <si>
    <t>Nevada</t>
  </si>
  <si>
    <t>Orange</t>
  </si>
  <si>
    <t>Placer</t>
  </si>
  <si>
    <t>Plumas</t>
  </si>
  <si>
    <t>Riverside</t>
  </si>
  <si>
    <t>Sacramento</t>
  </si>
  <si>
    <t>San Benito</t>
  </si>
  <si>
    <t>San Bernardino</t>
  </si>
  <si>
    <t>San Diego</t>
  </si>
  <si>
    <t>San Francisco</t>
  </si>
  <si>
    <t>San Joaquin</t>
  </si>
  <si>
    <t>San Luis Obispo</t>
  </si>
  <si>
    <t>San Mateo</t>
  </si>
  <si>
    <t>Santa Barbara</t>
  </si>
  <si>
    <t>Santa Clara</t>
  </si>
  <si>
    <t>Santa Cruz</t>
  </si>
  <si>
    <t>Shasta</t>
  </si>
  <si>
    <t>Sierra</t>
  </si>
  <si>
    <t>Siskiyou</t>
  </si>
  <si>
    <t>Solano</t>
  </si>
  <si>
    <t>Sonoma</t>
  </si>
  <si>
    <t>Stanislaus</t>
  </si>
  <si>
    <t>Tehama</t>
  </si>
  <si>
    <t>Tri-City</t>
  </si>
  <si>
    <t>Trinity</t>
  </si>
  <si>
    <t>Tulare</t>
  </si>
  <si>
    <t>Tuolumne</t>
  </si>
  <si>
    <t>Ventura</t>
  </si>
  <si>
    <t>Yolo</t>
  </si>
  <si>
    <t>Alpine</t>
  </si>
  <si>
    <t>Sutter/Yuba</t>
  </si>
  <si>
    <t>FSP</t>
  </si>
  <si>
    <t>Non-FSP</t>
  </si>
  <si>
    <t>Program Type</t>
  </si>
  <si>
    <t>Workforce Staffing</t>
  </si>
  <si>
    <t>Training/Technical Assistance</t>
  </si>
  <si>
    <t>MH Career Pathways</t>
  </si>
  <si>
    <t>Residency/Internship</t>
  </si>
  <si>
    <t>Financial Incentive</t>
  </si>
  <si>
    <t>Amount</t>
  </si>
  <si>
    <t>Reason</t>
  </si>
  <si>
    <t>Cost Report Reconciliation</t>
  </si>
  <si>
    <t>Cost Report Audit</t>
  </si>
  <si>
    <t>SDMC Chart Audit</t>
  </si>
  <si>
    <t>Local Quality Assurance Audit</t>
  </si>
  <si>
    <t>Error</t>
  </si>
  <si>
    <t>PEI SW</t>
  </si>
  <si>
    <t>Name of Preparer:</t>
  </si>
  <si>
    <t>County Code:</t>
  </si>
  <si>
    <t>Address:</t>
  </si>
  <si>
    <t>City:</t>
  </si>
  <si>
    <t>Zip:</t>
  </si>
  <si>
    <t>CSS Administration Costs</t>
  </si>
  <si>
    <t>Access and Linkage</t>
  </si>
  <si>
    <t>PEI Evaluation Costs</t>
  </si>
  <si>
    <t>#</t>
  </si>
  <si>
    <t>Prevention</t>
  </si>
  <si>
    <t>Early Intervention</t>
  </si>
  <si>
    <t>CSS Program Expenditures</t>
  </si>
  <si>
    <t>Subtotal Percentage for Combined Program</t>
  </si>
  <si>
    <t>Standalone</t>
  </si>
  <si>
    <t>Combined</t>
  </si>
  <si>
    <t>Outreach</t>
  </si>
  <si>
    <t>Stigma &amp; Discrimination Reduction</t>
  </si>
  <si>
    <t>Suicide Prevention</t>
  </si>
  <si>
    <t>Improving Timely Access</t>
  </si>
  <si>
    <t>PEI Administration Costs</t>
  </si>
  <si>
    <t>PEI Program Expenditures</t>
  </si>
  <si>
    <t>MHSOAC-Authorized MHSA INN Project Budget</t>
  </si>
  <si>
    <t>Amended MHSOAC-Authorized MHSA INN Project Budget</t>
  </si>
  <si>
    <t>Project Expenditure Type</t>
  </si>
  <si>
    <t>Project MHSOAC Approval Date</t>
  </si>
  <si>
    <t>PEI_Program_Type</t>
  </si>
  <si>
    <t>INN_Expenditure_Type</t>
  </si>
  <si>
    <t>Project</t>
  </si>
  <si>
    <t>Project Administration</t>
  </si>
  <si>
    <t>Project Evaluation</t>
  </si>
  <si>
    <t>INN Annual Planning Costs</t>
  </si>
  <si>
    <t>INN Indirect Administration</t>
  </si>
  <si>
    <t>INN Project Administration</t>
  </si>
  <si>
    <t>INN Project Evaluation</t>
  </si>
  <si>
    <t>INN Project Subtotal</t>
  </si>
  <si>
    <t>CSS_Service_Category</t>
  </si>
  <si>
    <t>Info_County_Code</t>
  </si>
  <si>
    <t>Info_Population</t>
  </si>
  <si>
    <t>PEI_Combined_Standalone</t>
  </si>
  <si>
    <t>WET_Funding_Category</t>
  </si>
  <si>
    <t>CFTN_Project_Type</t>
  </si>
  <si>
    <t>WET Program Expenditures</t>
  </si>
  <si>
    <t>Capital Facility</t>
  </si>
  <si>
    <t>Technological Need</t>
  </si>
  <si>
    <t>Date</t>
  </si>
  <si>
    <t>Cost Report Stage</t>
  </si>
  <si>
    <t>Audited</t>
  </si>
  <si>
    <t>Settled</t>
  </si>
  <si>
    <t>Initial</t>
  </si>
  <si>
    <t>Adjustment_Reason</t>
  </si>
  <si>
    <t>County Population:  Over 200,000? (Yes or No)</t>
  </si>
  <si>
    <t>Yes</t>
  </si>
  <si>
    <t>No</t>
  </si>
  <si>
    <t>Adjustment_MHSA_Component</t>
  </si>
  <si>
    <t>Prudent Reserve</t>
  </si>
  <si>
    <t>Title of Preparer:</t>
  </si>
  <si>
    <t>County Code</t>
  </si>
  <si>
    <t>Program Activity Name (in Combined Program)</t>
  </si>
  <si>
    <t>About the Data</t>
  </si>
  <si>
    <t>E-1: State/County Population Estimates with Annual Percent Change</t>
  </si>
  <si>
    <t>State/County</t>
  </si>
  <si>
    <t xml:space="preserve">           Total Population</t>
  </si>
  <si>
    <t>Percent</t>
  </si>
  <si>
    <t>Change</t>
  </si>
  <si>
    <t>California</t>
  </si>
  <si>
    <t>Sutter</t>
  </si>
  <si>
    <t>Yuba</t>
  </si>
  <si>
    <t>Department of Finance</t>
  </si>
  <si>
    <t>Demographic Research Unit</t>
  </si>
  <si>
    <t>Phone: (916) 323-4086</t>
  </si>
  <si>
    <t>For more information:  http://www.dof.ca.gov/research/demographic/reports/estimates/e-1/view.php</t>
  </si>
  <si>
    <t>Released on May 1, 2017</t>
  </si>
  <si>
    <t>Preparer Contact Email:</t>
  </si>
  <si>
    <t>PEI Funds Transferred to JPA</t>
  </si>
  <si>
    <t>CSS Funds Transferred to CalHFA</t>
  </si>
  <si>
    <t>CSS Funds Transferred to JPA</t>
  </si>
  <si>
    <t>Total WET Expenditures (Excluding Transfers to JPA)</t>
  </si>
  <si>
    <t>WET Funds Transferred to JPA</t>
  </si>
  <si>
    <t>Total CSS Expenditures (Excluding Funds Transferred to JPA)</t>
  </si>
  <si>
    <t>CSS Funds Transferred to PR</t>
  </si>
  <si>
    <t>CSS Funds Transferred to WET</t>
  </si>
  <si>
    <t>CSS Funds Transferred to CFTN</t>
  </si>
  <si>
    <t>Combined Summary</t>
  </si>
  <si>
    <t>Cost_Report_Stage</t>
  </si>
  <si>
    <t>INN Project Direct</t>
  </si>
  <si>
    <t>Project Direct</t>
  </si>
  <si>
    <t>WET Administration Costs</t>
  </si>
  <si>
    <t>Beginning Balance</t>
  </si>
  <si>
    <t>Adjustment Amount</t>
  </si>
  <si>
    <t>Ending Balance</t>
  </si>
  <si>
    <t>D</t>
  </si>
  <si>
    <t>E</t>
  </si>
  <si>
    <t>F</t>
  </si>
  <si>
    <t>H</t>
  </si>
  <si>
    <t>I</t>
  </si>
  <si>
    <t>J</t>
  </si>
  <si>
    <t>K</t>
  </si>
  <si>
    <t>L</t>
  </si>
  <si>
    <t>M</t>
  </si>
  <si>
    <t>N</t>
  </si>
  <si>
    <t>O</t>
  </si>
  <si>
    <t>G</t>
  </si>
  <si>
    <t>SECTION ONE</t>
  </si>
  <si>
    <t>SECTION TWO</t>
  </si>
  <si>
    <t>SECTION THREE</t>
  </si>
  <si>
    <t>Project Subtotal</t>
  </si>
  <si>
    <t>Comments</t>
  </si>
  <si>
    <t>Grand Total</t>
  </si>
  <si>
    <t>Transfers</t>
  </si>
  <si>
    <t>FY 2016-17</t>
  </si>
  <si>
    <t>FY 2015-16</t>
  </si>
  <si>
    <t>FY 2014-15</t>
  </si>
  <si>
    <t>FY 2013-14</t>
  </si>
  <si>
    <t>FY 2012-13</t>
  </si>
  <si>
    <t>FY 2011-12</t>
  </si>
  <si>
    <t>FY 2010-11</t>
  </si>
  <si>
    <t>FY 2009-10</t>
  </si>
  <si>
    <t>MHSA_Adjustment_FY</t>
  </si>
  <si>
    <t>FFP_Adjustment_FY</t>
  </si>
  <si>
    <t>Local Prudent Reserve Beginning Balance</t>
  </si>
  <si>
    <t>January 1, 2017 and 2018</t>
  </si>
  <si>
    <t>Local Prudent Reserve Ending Balance</t>
  </si>
  <si>
    <t>Check</t>
  </si>
  <si>
    <t>INN Funds Transferred to JPA</t>
  </si>
  <si>
    <t>Total Innovation Expenditures  (Excluding Transfers to JPA)</t>
  </si>
  <si>
    <t>Claremont</t>
  </si>
  <si>
    <t>La Verne</t>
  </si>
  <si>
    <t>Pomona</t>
  </si>
  <si>
    <t>Total WET RP</t>
  </si>
  <si>
    <t>Total PEI SW</t>
  </si>
  <si>
    <t>Total MHSA HP</t>
  </si>
  <si>
    <t>SECTION 3: CSS Transfers to PEI, WET, CFTN, or Prudent Reserve</t>
  </si>
  <si>
    <t>CSS Funds Transferred to PEI</t>
  </si>
  <si>
    <t>Total Mental Health Services For Veterans</t>
  </si>
  <si>
    <t>SECTION 1: Interest</t>
  </si>
  <si>
    <t>SECTION 2: Prudent Reserve</t>
  </si>
  <si>
    <t>Local Prudent Reserve Adjustments</t>
  </si>
  <si>
    <t>CSS Funds Transferred to Local Prudent Reserve</t>
  </si>
  <si>
    <t>SECTION 4: Program Expenditures and Sources of Funding</t>
  </si>
  <si>
    <t>FY 2017-18</t>
  </si>
  <si>
    <t>Berkeley</t>
  </si>
  <si>
    <t>SCO Distribution</t>
  </si>
  <si>
    <t>Total x 76%</t>
  </si>
  <si>
    <t>Total x 19%</t>
  </si>
  <si>
    <t>Total x 5%</t>
  </si>
  <si>
    <t>County Check:</t>
  </si>
  <si>
    <r>
      <t xml:space="preserve">Counties must report total MHSA funds spent on mental health services provided to veterans for all programs and projects funded through the Community Services and Supports, Prevention and Early Intervention, and Innovation components, combined. </t>
    </r>
    <r>
      <rPr>
        <sz val="12"/>
        <color rgb="FFFF0000"/>
        <rFont val="Arial"/>
        <family val="2"/>
      </rPr>
      <t>ENTER $0 IF NO SPENDING.</t>
    </r>
  </si>
  <si>
    <t>CSS Transfers to PEI, WET, CFTN, or Prudent Reserve must net to total 0</t>
  </si>
  <si>
    <t>='2. Component Summary'!I24</t>
  </si>
  <si>
    <t>Cell</t>
  </si>
  <si>
    <t>Status</t>
  </si>
  <si>
    <t>Notes</t>
  </si>
  <si>
    <t>='2. Component Summary'!D37</t>
  </si>
  <si>
    <t>='2. Component Summary'!D43</t>
  </si>
  <si>
    <t>Total MHSA costs for planning for all components may not exceed 5 percent of the total annual MHSA revenues received by the County.</t>
  </si>
  <si>
    <t>='2. Component Summary'!G12</t>
  </si>
  <si>
    <t>Counties must report the total amount of interest earned on the local MHS fund</t>
  </si>
  <si>
    <t>='2. Component Summary'!F16</t>
  </si>
  <si>
    <t>Please report the beginning balance of the local prudent reserve. This amount must match the prudent reserve ending balance reported in the FY 2016-17 ARER</t>
  </si>
  <si>
    <t>Department of Health Care Services</t>
  </si>
  <si>
    <t>HEALTH AND HUMAN SERVICES AGENCY</t>
  </si>
  <si>
    <t>STATE OF CALIFORNIA</t>
  </si>
  <si>
    <t>Joint Powers Authority Interest Earned</t>
  </si>
  <si>
    <t>Component Interest Earned</t>
  </si>
  <si>
    <t>Preparer Contact Telephone:</t>
  </si>
  <si>
    <t>Annual Mental Health Services Act (MHSA) Revenue and Expenditure Report</t>
  </si>
  <si>
    <t>Information Worksheet</t>
  </si>
  <si>
    <t>Total MHSA Funds (Including Interest)</t>
  </si>
  <si>
    <t>CSS Expenditures Incurred by JPA</t>
  </si>
  <si>
    <t>Component Summary Worksheet</t>
  </si>
  <si>
    <t>Community Services and Supports (CSS) Summary  Worksheet</t>
  </si>
  <si>
    <t>Prevention and Early Intervention (PEI) Summary Worksheet</t>
  </si>
  <si>
    <t xml:space="preserve">PEI Funds Expended by CalMHSA for PEI Statewide </t>
  </si>
  <si>
    <t>PEI Expenditures Incurred by JPA</t>
  </si>
  <si>
    <t>Percent Expended for Clients Age 25 and Under, All PEI</t>
  </si>
  <si>
    <t>Percent Expended for Clients Age 25 and Under, JPA</t>
  </si>
  <si>
    <t>Innovation (INN) Summary Worksheet</t>
  </si>
  <si>
    <t>INN Expenditures Incurred by JPA</t>
  </si>
  <si>
    <t>Total MHSA Fund (Including Interest)</t>
  </si>
  <si>
    <t>Mental Health Career Pathways</t>
  </si>
  <si>
    <t>WET Expenditures Incurred by JPA</t>
  </si>
  <si>
    <t>Workforce Education and Training (WET) Summary Worksheet</t>
  </si>
  <si>
    <t>Capital Facility Technological Needs (CFTN) Summary Worksheet</t>
  </si>
  <si>
    <t xml:space="preserve">MHSA Adjustments Worksheet </t>
  </si>
  <si>
    <t>FFP Revenue Adjustment Worksheet</t>
  </si>
  <si>
    <t>Comments Worksheet</t>
  </si>
  <si>
    <r>
      <t xml:space="preserve">ARER Fiscal Year </t>
    </r>
    <r>
      <rPr>
        <i/>
        <sz val="12"/>
        <color theme="1"/>
        <rFont val="Arial"/>
        <family val="2"/>
      </rPr>
      <t>(20YY-YY):</t>
    </r>
  </si>
  <si>
    <t>Total PEI Expenditures (Excluding Transfers and PEI Statewide)</t>
  </si>
  <si>
    <t>Combined/Standalone Program</t>
  </si>
  <si>
    <t>Percent of PEI Expended on Clients Age 25 &amp; Under (Standalone and Program Activities in Combined Program)</t>
  </si>
  <si>
    <t>Percent of PEI Expended on Clients Age 25 &amp; Under (Combined Summary and Standalone)</t>
  </si>
  <si>
    <t>CFTN Annual Planning Costs</t>
  </si>
  <si>
    <t>CFTN Evaluation Costs</t>
  </si>
  <si>
    <t>CFTN Project Expenditures</t>
  </si>
  <si>
    <t>CFTN Administration Costs</t>
  </si>
  <si>
    <t>Date: No entry. This field will auto-populate from the Information worksheet.</t>
  </si>
  <si>
    <t>County: No entry. This field will auto-populate from the Information worksheet.</t>
  </si>
  <si>
    <t>Row 1, Column A: Enter the amount of interest earned on MHSA funds that is attributable to the CSS Account.</t>
  </si>
  <si>
    <t>Row 1, Column B: Enter the amount of interest earned on MHSA funds that is attributable to the PEI Account.</t>
  </si>
  <si>
    <t>Row 1, Column C: Enter the amount of interest earned on MHSA funds that is attributable to the INN Account.</t>
  </si>
  <si>
    <t>Row 1, Column D: Enter the amount of interest earned on MHSA funds that is attributable to the WET Account.</t>
  </si>
  <si>
    <t>Row 1, Column E: Enter the amount of interest earned on MHSA funds that is attributable to the CFTN Account.</t>
  </si>
  <si>
    <t xml:space="preserve">Row 1, Interest Earned: report interest earned on the local MHS Fund, by Account where applicable. Use one of the following methods to determine the amount of interest to apportion to each Account:
1. Actual interest earned by Account
2. Share of funding by Account </t>
  </si>
  <si>
    <t>Row 2, Column A: Enter the amount of interest earned on MHSA funds transferred to the JPA that is attributable to the CSS Account.</t>
  </si>
  <si>
    <t>Row 2, Column B: Enter the amount of interest earned on MHSA funds transferred to the JPA that is attributable to the PEI Account.</t>
  </si>
  <si>
    <t>Row 2, Column C: Enter the amount of interest earned on MHSA funds transferred to the JPA that is attributable to the INN Account.</t>
  </si>
  <si>
    <t>Row 2, Column D: Enter the amount of interest earned on MHSA funds transferred to the JPA that is attributable to the WET Account.</t>
  </si>
  <si>
    <t>Row 2, Column E: Enter the amount of interest earned on MHSA funds transferred to the JPA that is attributable to the CFTN Account.</t>
  </si>
  <si>
    <t>Row 3, Column A: This cell is blank.</t>
  </si>
  <si>
    <t>Row 3, Column B: This cell is blank.</t>
  </si>
  <si>
    <t>Row 3, Column C: Enter the beginning balance of the Prudent Reserve. This amount must match the Prudent Reserve ending balance reported in the prior year's ARER.</t>
  </si>
  <si>
    <t>Row 4, Column A: Enter the amount of funds transferred from the Prudent Reserve to the CSS Account.</t>
  </si>
  <si>
    <t>Row 4, Column B: Enter the amount of funds transferred from the Prudent Reserve to the PEI Account.</t>
  </si>
  <si>
    <t>Row 5, Column B: This cell is blank.</t>
  </si>
  <si>
    <t>Row 6, Column A: This cell is blank.</t>
  </si>
  <si>
    <t>Row 6, Column B: This cell is blank.</t>
  </si>
  <si>
    <t>Row 7, Column A: This cell is blank.</t>
  </si>
  <si>
    <t>Row 7, Column B: This cell is blank.</t>
  </si>
  <si>
    <t>Row 8, Column B: No entry. Data will auto populate from Worksheet 3. CSS, Row 7, Column A.</t>
  </si>
  <si>
    <t>Row 8, Column C: No entry. Data will auto populate from Worksheet 3. CSS, Row 8, Column A.</t>
  </si>
  <si>
    <t>Row 8, Column D: No entry. Data will auto populate from Worksheet 3. CSS, Row 9, Column A.</t>
  </si>
  <si>
    <t>Row 8, Column E: No entry. Data will auto populate from Worksheet 3. CSS, Row 10, Column A.</t>
  </si>
  <si>
    <t>Row 8, Column F: No entry. This amount is the sum of Row 8, Columns A-E.</t>
  </si>
  <si>
    <t>Row 9, Column A: No entry. Data will auto populate from Worksheet 3. CSS, Row 13, Column A.</t>
  </si>
  <si>
    <t>Row 9, Column B: No entry. Data will auto populate from Worksheet 4. PEI, Row 8, Column A.</t>
  </si>
  <si>
    <t>Row 9, Column C: No entry. Data will auto populate from Worksheet 5. INN, Row 9, Column A.</t>
  </si>
  <si>
    <t>Row 9, Column D: No entry. Data will auto populate from Worksheet 6. WET, Row 7, Column A.</t>
  </si>
  <si>
    <t>Row 9, Column E: No entry. Data will auto populate from Worksheet 7. CFTN, Row 5, Column A.</t>
  </si>
  <si>
    <t>Row 9, Column F: No entry. This amount is the sum of Row 9, Columns A-E.</t>
  </si>
  <si>
    <t>Row 10, Column A: No entry. Data will auto populate from Worksheet 3. CSS, Row 13, Column B.</t>
  </si>
  <si>
    <t>Row 10, Column B: No entry. Data will auto populate from Worksheet 4. PEI, Row 8, Column B.</t>
  </si>
  <si>
    <t>Row 10, Column C: No entry. Data will auto populate from Worksheet 5. INN, Row 9, Column B.</t>
  </si>
  <si>
    <t>Row 10, Column D: No entry. Data will auto populate from Worksheet 6. WET, Row 7, Column B.</t>
  </si>
  <si>
    <t>Row 10, Column E: No entry. Data will auto populate from Worksheet 7. CFTN, Row 5, Column B.</t>
  </si>
  <si>
    <t>Row 10, Column F: No entry. This amount is the sum of Row 10, Columns A-E.</t>
  </si>
  <si>
    <t>Row 11, Column A: No entry. Data will auto populate from Worksheet 3. CSS, Row 13, Column C.</t>
  </si>
  <si>
    <t>Row 11, Column B: No entry. Data will auto populate from Worksheet 4. PEI, Row 8, Column C.</t>
  </si>
  <si>
    <t>Row 11, Column C: No entry. Data will auto populate from Worksheet 5. INN, Row 9, Column C.</t>
  </si>
  <si>
    <t>Row 11, Column D: No entry. Data will auto populate from Worksheet 6. WET, Row 7, Column C.</t>
  </si>
  <si>
    <t>Row 11, Column E: No entry. Data will auto populate from Worksheet 7. CFTN, Row 5, Column C.</t>
  </si>
  <si>
    <t>Row 11, Column F: No entry. This amount is the sum of Row 11, Columns A-E.</t>
  </si>
  <si>
    <t>Row 12, Column A: No entry. Data will auto populate from Worksheet 3. CSS, Row 13, Column D.</t>
  </si>
  <si>
    <t>Row 12, Column B: No entry. Data will auto populate from Worksheet 4. PEI, Row 8, Column D.</t>
  </si>
  <si>
    <t>Row 12, Column C: No entry. Data will auto populate from Worksheet 5. INN, Row 9, Column D.</t>
  </si>
  <si>
    <t>Row 12, Column D: No entry. Data will auto populate from Worksheet 6. WET, Row 7, Column D.</t>
  </si>
  <si>
    <t>Row 12, Column E: No entry. Data will auto populate from Worksheet 7. CFTN, Row 5, Column D.</t>
  </si>
  <si>
    <t>Row 12, Column F: No entry. This amount is the sum of Row 12, Columns A-E.</t>
  </si>
  <si>
    <t>Row 13, Column A: No entry. Data will auto populate from Worksheet 3. CSS, Row 13, Column E.</t>
  </si>
  <si>
    <t>Row 13, Column B: No entry. Data will auto populate from Worksheet 4. PEI, Row 8, Column E.</t>
  </si>
  <si>
    <t>Row 13, Column C: No entry. Data will auto populate from Worksheet 5. INN, Row 9, Column E.</t>
  </si>
  <si>
    <t>Row 13, Column D: No entry. Data will auto populate from Worksheet 6. WET, Row 7, Column E.</t>
  </si>
  <si>
    <t>Row 13, Column E: No entry. Data will auto populate from Worksheet 7. CFTN, Row 5, Column E.</t>
  </si>
  <si>
    <t>Row 13, Column F: No entry. This amount is the sum of Row 13, Columns A-E.</t>
  </si>
  <si>
    <t xml:space="preserve">Row 14, Column A: No entry. This amount is the sum of Rows 9-13, Column A. </t>
  </si>
  <si>
    <t xml:space="preserve">Row 14, Column B: No entry. This amount is the sum of Rows 9-13, Column B. </t>
  </si>
  <si>
    <t xml:space="preserve">Row 14, Column C: No entry. This amount is the sum of Rows 9-13, Column C. </t>
  </si>
  <si>
    <t xml:space="preserve">Row 14, Column D: No entry. This amount is the sum of Rows 9-13, Column D. </t>
  </si>
  <si>
    <t xml:space="preserve">Row 14, Column E: No entry. This amount is the sum of Rows 9-13, Column E. </t>
  </si>
  <si>
    <t xml:space="preserve">Row 15, Column A: No entry. This amount is the sum of Worksheet 3. CSS Row 1 Column A, Worksheet 4. PEI Row 1 Column A, Worksheet 5. INN Row 1 Column A, Worksheet 6. WET Row 1 Column A, and Worksheet 7. CFTN Row 1 Column A.  </t>
  </si>
  <si>
    <t xml:space="preserve">Row 16, Column A: No entry. This amount is the sum of Worksheet 3. CSS Row 2 Column A, Worksheet 4. PEI Row 2 Column A, Worksheet 5. INN Row 6 Column A, Worksheet 6. WET Row 2 Column A, and Worksheet 7. CFTN Row 2 Column A.  </t>
  </si>
  <si>
    <t xml:space="preserve">Row 17, Column A: No entry. This amount is the sum of Worksheet 3. CSS Row 3 Column A, Worksheet 4. PEI Row 3 Column A, Worksheet 5. INN Rows 2 and 5 Column A, Worksheet 6. WET Row 3 Column A, and Worksheet 7. CFTN Row 3 Column A.  </t>
  </si>
  <si>
    <t>Row 18, Column A: Enter the amount of WET Regional Partnership funds expended for goods or services during the reporting fiscal year.</t>
  </si>
  <si>
    <r>
      <t xml:space="preserve">Row 21, Column A: Enter the total MHSA funds spent on mental health services provided to veterans for all programs and projects funded from the CSS, PEI, and INN accounts, combined. Enter $0 if there were no MHSA funds spent to provide services to veterans. Counties do not need to report MHSA funds spent on mental health services for veterans separately by component. </t>
    </r>
    <r>
      <rPr>
        <sz val="11"/>
        <color theme="1"/>
        <rFont val="Calibri"/>
        <family val="2"/>
        <scheme val="minor"/>
      </rPr>
      <t> </t>
    </r>
  </si>
  <si>
    <t>Row 10, Column F: No entry. This amount is equal to Row 10, Column A.</t>
  </si>
  <si>
    <t>Row 10, Column E: This cell is blank.</t>
  </si>
  <si>
    <t>Row 10, Column D: This cell is blank.</t>
  </si>
  <si>
    <t>Row 10, Column C: This cell is blank.</t>
  </si>
  <si>
    <t>Row 10, Column B: This cell is blank.</t>
  </si>
  <si>
    <t>Row 10, Column A: Enter the amount of MHSA funds, including interest, transferred from the CSS account to Prudent Reserve during the reporting fiscal year.</t>
  </si>
  <si>
    <t>Row 9, Column F: No entry. This amount is equal to Row 9, Column A.</t>
  </si>
  <si>
    <t>Row 9, Column E: This cell is blank.</t>
  </si>
  <si>
    <t>Row 9, Column D: This cell is blank.</t>
  </si>
  <si>
    <t>Row 9, Column C: This cell is blank.</t>
  </si>
  <si>
    <t>Row 9, Column B: This cell is blank.</t>
  </si>
  <si>
    <t>Row 9, Column A: Enter the amount of MHSA funds, including interest, transferred from the CSS account to CFTN during the reporting fiscal year.</t>
  </si>
  <si>
    <t>Row 8, Column F: No entry. This amount is equal to Row 8, Column A.</t>
  </si>
  <si>
    <t>Row 8, Column E: This cell is blank.</t>
  </si>
  <si>
    <t>Row 8, Column D: This cell is blank.</t>
  </si>
  <si>
    <t>Row 8, Column C: This cell is blank.</t>
  </si>
  <si>
    <t>Row 8, Column B: This cell is blank.</t>
  </si>
  <si>
    <t>Row 8, Column A: Enter the amount of MHSA funds, including interest, transferred from the CSS account to WET during the reporting fiscal year.</t>
  </si>
  <si>
    <t>Row 7, Column F: No entry. This amount is equal to Row 7, Column A.</t>
  </si>
  <si>
    <t>Row 7, Column E: This cell is blank.</t>
  </si>
  <si>
    <t>Row 7, Column D: This cell is blank.</t>
  </si>
  <si>
    <t>Row 7, Column C: This cell is blank.</t>
  </si>
  <si>
    <t>Row 7, Column A: Enter the amount of MHSA funds, including interest, transferred from the CSS account to PEI during the reporting fiscal year.</t>
  </si>
  <si>
    <t>Row 6, Column F: No entry. This amount is equal to Row 6, Column A.</t>
  </si>
  <si>
    <t>Row 6, Column E: This cell is blank.</t>
  </si>
  <si>
    <t>Row 6, Column D: This cell is blank.</t>
  </si>
  <si>
    <t>Row 6, Column C: This cell is blank.</t>
  </si>
  <si>
    <t>Row 6, Column A: Enter the amount of MHSA funds, including interest, transferred to CalHFA during the reporting fiscal year for the Special Needs Housing Program (SNHP). CalHFA operates the SNHP on behalf of jurisdictions throughout California. The SNHP allows local governments to use Mental Health Services Act (MHSA) funds and other local funds, as appropriate, to provide financing for the development of permanent supportive rental housing that includes units dedicated for individuals with serious mental illness, and their families, who are homeless or at risk of homelessness. Participation requires a completed SNHP Participation Agreement between CalHFA and the County.</t>
  </si>
  <si>
    <t>Row 5, Column F: No entry. This amount is equal to Row 5, Column A.</t>
  </si>
  <si>
    <t>Row 5, Column E: This cell is blank.</t>
  </si>
  <si>
    <t>Row 5, Column D: This cell is blank.</t>
  </si>
  <si>
    <t>Row 5, Column C: This cell is blank.</t>
  </si>
  <si>
    <t>Row 4, Column A: Enter the amount of MHSA funds, including interest, transferred to a Joint Powers Authority (JPA) for CSS programs.</t>
  </si>
  <si>
    <t>Row 3, Column A: Enter the amount of MHSA funds, including interest, expended for CSS Administration. This amount should include direct administrative costs and an appropriate allocation of indirect costs. Direct administrative costs are administrative costs that only benefit CSS programs or services. Indirect administrative costs are those administrative costs that are incurred for a common or joint purpose and cannot be readily identified as benefiting only one MHSA component. Counties must use an appropriate allocation method to allocate indirect costs to the CSS Account. The share of costs attributed to the CSS Account  should be in proportion to the extent the CSS programs or services benefit from the support activity. Counties must maintain proper documentation of the allocation methodology used to allocate indirect costs to administration of CSS programs or services. To avoid double-counting, do not include costs incurred as both Administration Costs and either Annual Planning Costs, Evaluation Costs or Program Expenditures.</t>
  </si>
  <si>
    <t>Row 2, Column F: No entry. This amount is the sum of Row 2, Columns A-E.</t>
  </si>
  <si>
    <t>Row 2, Column E: Enter the amount of Other funds expended for CSS Evaluation.</t>
  </si>
  <si>
    <t>Row 2, Column C: Enter the amount of 1991 Realignment funds expended for CSS Evaluation.</t>
  </si>
  <si>
    <t>Row 2, Column B: Enter the amount of Medi-Cal FFP funds expended for CSS Evaluation.</t>
  </si>
  <si>
    <t>Row 2, Column A: Enter the amount of MHSA funds, including interest, expended for CSS Evaluation.</t>
  </si>
  <si>
    <t>Row 1, Column F: No entry. This amount is the sum of Row 1, Columns A-E.</t>
  </si>
  <si>
    <t>Row 1, Column E: Enter the amount of Other funds expended for CSS Annual Planning. Other funds include funding from sources not otherwise identified such as from local General Fund or other local sources, or from sources such as Federal grants or other grants.</t>
  </si>
  <si>
    <t>Row 1, Column C: Enter the amount of 1991 Realignment funds expended for CSS Annual Planning.</t>
  </si>
  <si>
    <t>Row 1, Column B: Enter the amount of Medi-Cal FFP funds expended for CSS Annual Planning.</t>
  </si>
  <si>
    <t>Row 1, Column A: Enter the amount of MHSA funds, including interest, expended for CSS Annual Planning.</t>
  </si>
  <si>
    <t>Row 3, Column C: This cell is blank.</t>
  </si>
  <si>
    <t>Row 3, Column D: This cell is blank.</t>
  </si>
  <si>
    <t>Row 3, Column E: This cell is blank.</t>
  </si>
  <si>
    <t>Row 5, Column A: Enter the amount of MHSA funds, including interest, expended by a JPA on behalf of the County during the reporting fiscal year for authorized CSS goods or services. Funds reported here as transferred will not increase the Total CSS Expenditures (Row 12).</t>
  </si>
  <si>
    <t>Row 1, Column A: Enter the amount of MHSA funds, including interest, expended for PEI Annual Planning.</t>
  </si>
  <si>
    <t>Row 1, Column B: Enter the amount of Medi-Cal FFP funds expended for PEI Annual Planning.</t>
  </si>
  <si>
    <t>Row 1, Column C: Enter the amount of 1991 Realignment funds expended for PEI Annual Planning.</t>
  </si>
  <si>
    <t>Row 1, Column E: Enter the amount of Other funds expended for PEI Annual Planning. Other funds include funding from sources not otherwise identified such as from local General Fund or other local sources, or from sources such as Federal grants or other grants.</t>
  </si>
  <si>
    <t>Row 2, Column A: Enter the amount of MHSA funds, including interest, expended for PEI Evaluation.</t>
  </si>
  <si>
    <t>Row 2, Column B: Enter the amount of Medi-Cal FFP funds expended for PEI Evaluation.</t>
  </si>
  <si>
    <t>Row 2, Column C: Enter the amount of 1991 Realignment funds expended for PEI Evaluation.</t>
  </si>
  <si>
    <t>Row 2, Column E: Enter the amount of Other funds expended for PEI Evaluation.</t>
  </si>
  <si>
    <t>Row 3, Column A: Enter the amount of MHSA funds, including interest, expended for PEI Administration. This amount should include direct administrative costs and an appropriate allocation of indirect costs. Direct administrative costs are administrative costs that only benefit PEI programs or services. Indirect administrative costs are those administrative costs that are incurred for a common or joint purpose and cannot be readily identified as benefiting only one MHSA component. Counties must use an appropriate allocation method to allocate indirect costs to the PEI Account. The share of costs attributed to the PEI Account  should be in proportion to the extent the PEI programs or services benefit from the support activity. Counties must maintain proper documentation of the allocation methodology used to allocate indirect costs to administration of PEI programs or services. To avoid double-counting, do not include costs incurred as both Administration Costs and either Annual Planning Costs, Evaluation Costs or Program Expenditures.</t>
  </si>
  <si>
    <t>Row 3, Column B: Enter the amount of Medi-Cal FFP funds expended for PEI Administration.</t>
  </si>
  <si>
    <t>Row 3, Column C: Enter the amount of 1991 Realignment funds expended for PEI Administration.</t>
  </si>
  <si>
    <t>Row 3, Column E: Enter the amount of Other funds expended for PEI Administration.</t>
  </si>
  <si>
    <t>Row 3, Column F: No entry. This amount is the sum of Row 3, Columns A-E.</t>
  </si>
  <si>
    <t>Row 4, Column B: This cell is blank.</t>
  </si>
  <si>
    <t>Row 4, Column C: This cell is blank.</t>
  </si>
  <si>
    <t>Row 4, Column D: This cell is blank.</t>
  </si>
  <si>
    <t>Row 4, Column E: This cell is blank.</t>
  </si>
  <si>
    <t>Row 4, Column F: No entry. This amount is equal to Row 4, Column A.</t>
  </si>
  <si>
    <t>Row 1, Column A: Enter the amount of MHSA funds, including interest, expended for INN Annual Planning.</t>
  </si>
  <si>
    <t>Row 1, Column B: Enter the amount of Medi-Cal FFP funds expended for INN Annual Planning.</t>
  </si>
  <si>
    <t>Row 1, Column C: Enter the amount of 1991 Realignment funds expended for INN Annual Planning.</t>
  </si>
  <si>
    <t>Row 1, Column E: Enter the amount of Other funds expended for INN Annual Planning. Other funds include funding from sources not otherwise identified such as from local General Fund or other local sources, or from sources such as Federal grants or other grants.</t>
  </si>
  <si>
    <t>Row 2, Column A: Enter the amount of MHSA funds, including interest, expended for INN Indirect Administration costs. Indirect administrative costs are those administrative costs that are incurred for a common or joint purpose and cannot be readily identified as benefiting only one MHSA component. Counties must use an appropriate allocation method to allocate indirect costs to the INN Account. The share of costs attributed to the INN Account  should be in proportion to the extent the INN projects or services benefit from the support activity. Counties must maintain proper documentation of the allocation methodology used to allocate indirect costs to administration of INN projects or services. To avoid double-counting, do not include costs incurred as both INN Indirect Administration Costs and either INN Project Administration, INN Project Evaluation or INN Project Direct Expenditures.</t>
  </si>
  <si>
    <t>Row 2, Column B: Enter the amount of Medi-Cal FFP funds expended for INN Indirect Administration.</t>
  </si>
  <si>
    <t>Row 2, Column C: Enter the amount of 1991 Realignment funds expended for INN Indirect Administration.</t>
  </si>
  <si>
    <t>Row 2, Column E: Enter the amount of Other funds expended for INN Indirect Administration.</t>
  </si>
  <si>
    <t>Row 3, Column A: Enter the amount of MHSA funds, including interest, transferred to a Joint Powers Authority (JPA) for INN projects.</t>
  </si>
  <si>
    <t>Row 3, Column F: No entry. This amount is equal to Row 3, Column A.</t>
  </si>
  <si>
    <t>Row 1, Column A: Enter the amount of MHSA funds, including interest, expended for WET Annual Planning.</t>
  </si>
  <si>
    <t>Row 1, Column B: Enter the amount of Medi-Cal FFP funds expended for WET Annual Planning.</t>
  </si>
  <si>
    <t>Row 1, Column C: Enter the amount of 1991 Realignment funds expended for WET Annual Planning.</t>
  </si>
  <si>
    <t>Row 1, Column E: Enter the amount of Other funds expended for WET Annual Planning. Other funds include funding from sources not otherwise identified such as from local General Fund or other local sources, or from sources such as Federal grants or other grants.</t>
  </si>
  <si>
    <t>Row 2, Column A: Enter the amount of MHSA funds, including interest, expended for WET Evaluation.</t>
  </si>
  <si>
    <t>Row 2, Column B: Enter the amount of Medi-Cal FFP funds expended for WET Evaluation.</t>
  </si>
  <si>
    <t>Row 2, Column C: Enter the amount of 1991 Realignment funds expended for WET Evaluation.</t>
  </si>
  <si>
    <t>Row 2, Column E: Enter the amount of Other funds expended for WET Evaluation.</t>
  </si>
  <si>
    <t>Row 3, Column A: Enter the amount of MHSA funds, including interest, expended for WET Administration. This amount should include direct administrative costs and an appropriate allocation of indirect costs. Direct administrative costs are administrative costs that only benefit WET programs or services. Indirect administrative costs are those administrative costs that are incurred for a common or joint purpose and cannot be readily identified as benefiting only one MHSA component. Counties must use an appropriate allocation method to allocate indirect costs to the WET Account. The share of costs attributed to the WET Account  should be in proportion to the extent the WET programs or services benefit from the support activity. Counties must maintain proper documentation of the allocation methodology used to allocate indirect costs to administration of WET programs or services. To avoid double-counting, do not include costs incurred as both Administration Costs and either Annual Planning Costs, Evaluation Costs or Program Expenditures.</t>
  </si>
  <si>
    <t>Row 3, Column B: Enter the amount of Medi-Cal FFP funds expended for WET Administration.</t>
  </si>
  <si>
    <t>Row 3, Column C: Enter the amount of 1991 Realignment funds expended for WET Administration.</t>
  </si>
  <si>
    <t>Row 3, Column E: Enter the amount of Other funds expended for WET Administration.</t>
  </si>
  <si>
    <t>Row 4, Column A: Enter the amount of MHSA funds, including interest, transferred to a Joint Powers Authority (JPA) for WET programs.</t>
  </si>
  <si>
    <t xml:space="preserve">Row 5, Column A: Enter the amount of MHSA funds, including interest, expended by a JPA on behalf of the County during the reporting fiscal year for authorized WET goods or services. </t>
  </si>
  <si>
    <t>Row 6, Column A: No entry. This amount is the sum of Rows 8-12, Column C.</t>
  </si>
  <si>
    <t>Row 6, Column B: No entry. This amount is the sum of Rows 8-12, Column D.</t>
  </si>
  <si>
    <t>Row 6, Column C: No entry. This amount is the sum of Rows 8-12, Column E.</t>
  </si>
  <si>
    <t>Row 6, Column D: No entry. This amount is the sum of Rows 8-12, Column F.</t>
  </si>
  <si>
    <t>Row 6, Column E: No entry. This amount is the sum of Rows 8-12, Column G.</t>
  </si>
  <si>
    <t>Row 6, Column F: No entry. This amount is the sum of Row 6, Columns A-E.</t>
  </si>
  <si>
    <t>Row 7, Column A: No entry. This amount is the sum of Rows 1-3 and 5-6, Column A.</t>
  </si>
  <si>
    <t>Row 7, Column B: No entry. This amount is the sum of Rows 1-3 and 6, Column B.</t>
  </si>
  <si>
    <t>Row 7, Column C: No entry. This amount is the sum of Rows 1-3 and 6, Column C.</t>
  </si>
  <si>
    <t>Row 7, Column D: No entry. This amount is the sum of Rows 1-3 and 6, Column D.</t>
  </si>
  <si>
    <t>Row 7, Column E: No entry. This amount is the sum of Rows 1-3 and 6, Column E.</t>
  </si>
  <si>
    <t>Row 7, Column F: No entry. This amount is the sum of Row 7, Columns A-E.</t>
  </si>
  <si>
    <t>Row 8,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</si>
  <si>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 8, Column B: No entry.</t>
  </si>
  <si>
    <t>Row 8, Column C: Enter the amount of MHSA funds, including interest, expended for goods and services delivered during the reporting fiscal year for Workforce Staffing.</t>
  </si>
  <si>
    <t>Row 8, Column E: Enter the amount of 1991 Realignment funds expended for goods and services delivered during the reporting fiscal year for Workforce Staffing.</t>
  </si>
  <si>
    <t>Row 8, Column F: Enter the amount of Behavioral Health Subaccount funds expended for goods and services delivered during the reporting fiscal year for Workforce Staffing.</t>
  </si>
  <si>
    <t>Row 8, Column G: Enter the amount of Other funds expended for goods and services delivered during the reporting fiscal year for Workforce Staffing.</t>
  </si>
  <si>
    <t>Row 8, Column H: No entry. This amount is the sum of Row 8, Columns C-G.</t>
  </si>
  <si>
    <t>Row 9,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</si>
  <si>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 9, Column B: No entry.</t>
  </si>
  <si>
    <t>Row 9, Column C: Enter the amount of MHSA funds, including interest, expended for goods and services delivered during the reporting fiscal year for Training/Technical Assistance.</t>
  </si>
  <si>
    <t>Row 9, Column E: Enter the amount of 1991 Realignment funds expended for goods and services delivered during the reporting fiscal year for Training/Technical Assistance.</t>
  </si>
  <si>
    <t>Row 9, Column F: Enter the amount of Behavioral Health Subaccount funds expended for goods and services delivered during the reporting fiscal year for Training/Technical Assistance.</t>
  </si>
  <si>
    <t>Row 9, Column G: Enter the amount of Other funds expended for goods and services delivered during the reporting fiscal year for Training/Technical Assistance.</t>
  </si>
  <si>
    <t>Row 9, Column H: No entry. This amount is the sum of Row 9, Columns C-G.</t>
  </si>
  <si>
    <t>Row 10,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</si>
  <si>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 10, Column B: No entry.</t>
  </si>
  <si>
    <t>Row 10, Column C: Enter the amount of MHSA funds, including interest, expended for goods and services delivered during the reporting fiscal year for Mental Health Career Pathways.</t>
  </si>
  <si>
    <t>Row 10, Column E: Enter the amount of 1991 Realignment funds expended for goods and services delivered during the reporting fiscal year for Mental Health Career Pathways.</t>
  </si>
  <si>
    <t>Row 10, Column F: Enter the amount of Behavioral Health Subaccount funds expended for goods and services delivered during the reporting fiscal year for Mental Health Career Pathways.</t>
  </si>
  <si>
    <t>Row 10, Column G: Enter the amount of Other funds expended for goods and services delivered during the reporting fiscal year for Mental Health Career Pathways.</t>
  </si>
  <si>
    <t>Row 10, Column H: No entry. This amount is the sum of Row 10, Columns C-G.</t>
  </si>
  <si>
    <t>Row 11,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</si>
  <si>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 11, Column B: No entry.</t>
  </si>
  <si>
    <t>Row 11, Column C: Enter the amount of MHSA funds, including interest, expended for goods and services delivered during the reporting fiscal year for Residency/Internship.</t>
  </si>
  <si>
    <t>Row 11, Column E: Enter the amount of 1991 Realignment funds expended for goods and services delivered during the reporting fiscal year for Residency/Internship.</t>
  </si>
  <si>
    <t>Row 11, Column F: Enter the amount of Behavioral Health Subaccount funds expended for goods and services delivered during the reporting fiscal year for Residency/Internship.</t>
  </si>
  <si>
    <t>Row 11, Column G: Enter the amount of Other funds expended for goods and services delivered during the reporting fiscal year for Residency/Internship.</t>
  </si>
  <si>
    <t>Row 11, Column H: No entry. This amount is the sum of Row 11, Columns C-G.</t>
  </si>
  <si>
    <t>Row 12,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</si>
  <si>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 12, Column B: No entry.</t>
  </si>
  <si>
    <t>Row 12, Column C: Enter the amount of MHSA funds, including interest, expended for goods and services delivered during the reporting fiscal year for Financial Incentives.</t>
  </si>
  <si>
    <t>Row 12, Column D: Enter the amount of MediCal FFP funds expended for goods and services delivered during the reporting fiscal year for Financial Incentives.</t>
  </si>
  <si>
    <t>Row 12, Column E: Enter the amount of 1991 Realignment funds expended for goods and services delivered during the reporting fiscal year for Financial Incentives.</t>
  </si>
  <si>
    <t>Row 12, Column F: Enter the amount of Behavioral Health Subaccount funds expended for goods and services delivered during the reporting fiscal year for Financial Incentives.</t>
  </si>
  <si>
    <t>Row 12, Column G: Enter the amount of Other funds expended for goods and services delivered during the reporting fiscal year for Financial Incentives.</t>
  </si>
  <si>
    <t>Row 12, Column H: No entry. This amount is the sum of Row 12, Columns C-G.</t>
  </si>
  <si>
    <t>CFTN Funds Transferred to JPA</t>
  </si>
  <si>
    <t>CFTN Expenditures Incurred by JPA</t>
  </si>
  <si>
    <t>Row 1, Column A: Enter the amount of MHSA funds, including interest, expended for CFTN Annual Planning.</t>
  </si>
  <si>
    <t>Row 1, Column B: Enter the amount of Medi-Cal FFP funds expended for CFTN Annual Planning.</t>
  </si>
  <si>
    <t>Row 1, Column C: Enter the amount of 1991 Realignment funds expended for CFTN Annual Planning.</t>
  </si>
  <si>
    <t>Row 1, Column E: Enter the amount of Other funds expended for CFTN Annual Planning. Other funds include funding from sources not otherwise identified such as from local General Fund or other local sources, or from sources such as Federal grants or other grants.</t>
  </si>
  <si>
    <t>Row 2, Column A: Enter the amount of MHSA funds, including interest, expended for CFTN Evaluation.</t>
  </si>
  <si>
    <t>Row 2, Column B: Enter the amount of Medi-Cal FFP funds expended for CFTN Evaluation.</t>
  </si>
  <si>
    <t>Row 2, Column C: Enter the amount of 1991 Realignment funds expended for CFTN Evaluation.</t>
  </si>
  <si>
    <t>Row 2, Column E: Enter the amount of Other funds expended for CFTN Evaluation.</t>
  </si>
  <si>
    <t>Row 3, Column A: Enter the amount of MHSA funds, including interest, expended for CFTN Administration. This amount should include direct administrative costs and an appropriate allocation of indirect costs. Direct administrative costs are administrative costs that only benefit CFTN projects. Indirect administrative costs are those administrative costs that are incurred for a common or joint purpose and cannot be readily identified as benefiting only one MHSA component. Counties must use an appropriate allocation method to allocate indirect costs to the CFTN Account. The share of costs attributed to the CFTN Account  should be in proportion to the extent the CFTN project benefit from the support activity. Counties must maintain proper documentation of the allocation methodology used to allocate indirect costs to administration of CFTN projects. To avoid double-counting, do not include costs incurred as both Administration Costs and either Annual Planning Costs, Evaluation Costs or Project Expenditures.</t>
  </si>
  <si>
    <t>Row 3, Column B: Enter the amount of Medi-Cal FFP funds expended for CFTN Administration.</t>
  </si>
  <si>
    <t>Row 3, Column C: Enter the amount of 1991 Realignment funds expended for CFTN Administration.</t>
  </si>
  <si>
    <t>Row 3, Column E: Enter the amount of Other funds expended for CFTN Administration.</t>
  </si>
  <si>
    <t>Row 4, Column A: Enter the amount of MHSA funds, including interest, transferred to a Joint Powers Authority (JPA) for CFTN projects.</t>
  </si>
  <si>
    <t xml:space="preserve">Row 5, Column A: Enter the amount of MHSA funds, including interest, expended by a JPA on behalf of the County during the reporting fiscal year for authorized CFTN goods or services. </t>
  </si>
  <si>
    <t>Row 6, Column A: No entry. This amount is the sum of Rows 8-27, Column E.</t>
  </si>
  <si>
    <t>Row 6, Column B: No entry. This amount is the sum of Rows 8-27, Column F.</t>
  </si>
  <si>
    <t>Row 6, Column C: No entry. This amount is the sum of Rows 8-27, Column G.</t>
  </si>
  <si>
    <t>Row 6, Column D: No entry. This amount is the sum of Rows 8-27, Column H.</t>
  </si>
  <si>
    <t>Row 6, Column E: No entry. This amount is the sum of Rows 8-27, Column I.</t>
  </si>
  <si>
    <t>Rows 8-27,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</si>
  <si>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Rows 8-27, Column B: Enter the Project name for each CFTN project funded by the CFTN Account. Project name must be consistent with Project Name provided in the most recent MHSA Three-Year Program and Expenditure Plan or Annual Update covering the same Fiscal Year. If a County has changed the name of a Project subsequent to publication of the relevant Three-Year Program and Expenditure Plan or Annual Update, the County must provide the name change on worksheet 10. Comments.</t>
  </si>
  <si>
    <t xml:space="preserve">Rows 8-27, Column C: If the Project name is identical to the Project name reported in the prior year ARER or this is a new project this reporting year, no entry. If the Project name has changed from what was reported on the prior year ARER, enter the name used to identify this Project in the prior year ARER. If this project represents a combination of two or more projects formerly reported separately, or if this program was formerly combined with another Project leave this field blank, but provide a comment on the Worksheet 10. </t>
  </si>
  <si>
    <t xml:space="preserve">Rows 8-27, Column D: Selection Only. Select the Project Type.  Options are Capital Facility or Technological Needs. </t>
  </si>
  <si>
    <t>Rows 8-27, Column E: Enter the amount of MHSA funds, including interest, expended for goods and services delivered during the reporting fiscal year for CFTN.</t>
  </si>
  <si>
    <t>Row 8-27, Column F: Enter the amount of MediCal FFP funds expended for goods and services delivered during the reporting fiscal year for CFTN.</t>
  </si>
  <si>
    <t>Row 8-27, Column G: Enter the amount of 1991 Realignment funds expended for goods and services delivered during the reporting fiscal year for CFTN.</t>
  </si>
  <si>
    <t>Row 8-27, Column H: Enter the amount of Behavioral Health Subaccount funds expended for goods and services delivered during the reporting fiscal year for CFTN.</t>
  </si>
  <si>
    <t>Row 8-27, Column I: Enter the amount of Other funds expended for goods and services delivered during the reporting fiscal year for CFTN.</t>
  </si>
  <si>
    <t>Row 8-27, Column J: No entry. This amount is the sum of Rows 8-27, Columns E-I.</t>
  </si>
  <si>
    <t>Account</t>
  </si>
  <si>
    <t>Adjustment Type</t>
  </si>
  <si>
    <t>Rows 1-60,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</si>
  <si>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Rows 1-30, Column B: Selection only. Enter the Account  for which the MHSA adjustment is being reported. Options include CSS, PEI, INN, WET, or CFTN.</t>
  </si>
  <si>
    <t xml:space="preserve">Rows 1-30, Column C: Selection only. Enter the adjustment type. Options include expenditure or interest revenue. </t>
  </si>
  <si>
    <t>Rows 1-30, Column D: Enter the Fiscal Year for which the adjustment is being reported.</t>
  </si>
  <si>
    <t>Rows 1-30, Column E: Enter the amount of the adjustment. Enter a positive number to reflect an increase in MHSA expenditures or interest revenue and a negative number to reflect a decrease in MHSA expenditures or interest revenue.</t>
  </si>
  <si>
    <t>Rows 1-30, Column F: Enter the reason for the adjustment.</t>
  </si>
  <si>
    <t xml:space="preserve">Rows 31-60, Column B: No entry. </t>
  </si>
  <si>
    <t>Rows 31-60, Column C: Enter the Fiscal Year for which the adjustment is being reported.</t>
  </si>
  <si>
    <t>Rows 31-60, Column D: Enter the amount of the adjustment.  Enter a positive number to reflect an increase to the Prudent Reserve and a negative number to reflect a decrease to the Prudent Reserve.</t>
  </si>
  <si>
    <t>Rows 31-60, Column E: Enter the reason for the adjustment.</t>
  </si>
  <si>
    <t>Rows 1-40,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</si>
  <si>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Rows 1-40, Column B: Enter the fiscal year for which the County is entering an adjustment to the amount of MHSA funds expended due to a change in FFP revenue.</t>
  </si>
  <si>
    <t>Rows 1-40, Column C: Selection only. Enter cost report stage.  Options include Initial, Settled, Audited. Select Initial if the adjustment is due to a change to the amount of FFP revenue after the County filed its initial cost report for the Fiscal Year identified in Column B.  Select Settled, if the adjustment is due to a change to the amount of FFP revenue after the Department completed its interim cost report settlement for the Fiscal Year identified in Column B.  Select Audit, if the adjustment is due to a change to the amount of FFP revenue received after DHCS completed its audit of the cost report for the Fiscal Year identified in Column B.</t>
  </si>
  <si>
    <t>Rows 1-40, Column D: Selection only. Enter the Account  for which the MHSA adjustment is being reported. Options include CSS, PEI, INN, WET, or CFTN.</t>
  </si>
  <si>
    <t>Rows 1-40, Column E: Enter the amount of MHSA funds expended for the component identified in Column D as reported in the ARER filed for the fiscal year identified in Column B.</t>
  </si>
  <si>
    <t>Rows 1-40, Column F: Enter the amount of the MHSA expenditures to be adjusted. Enter a positive number to report an increase to MHSA expenditures and a negative number to report a decrease to MHSA expenditures.</t>
  </si>
  <si>
    <t>Rows 1-40, Column A: Selection only. Select the account for which the Comment is necessary.</t>
  </si>
  <si>
    <t>Rows 1-40. Column B: Enter the Fiscal Year for which the Comment is necessary.</t>
  </si>
  <si>
    <t>Rows 1-40, Column C: Enter the Comment.</t>
  </si>
  <si>
    <r>
      <t xml:space="preserve">Row 1, Column F: </t>
    </r>
    <r>
      <rPr>
        <sz val="12"/>
        <color theme="1"/>
        <rFont val="Arial"/>
        <family val="2"/>
      </rPr>
      <t>No entry. This amount is the sum of Row 1, Columns A-E.</t>
    </r>
  </si>
  <si>
    <t>Row 1: Enter the date when the ARER was completed.</t>
  </si>
  <si>
    <t xml:space="preserve">Row 2: Enter the reporting fiscal year for the ARER. </t>
  </si>
  <si>
    <t>Row 3: Selection Only. Select the name of the County for which this ARER was prepared from the pull-down menu in the response cell.</t>
  </si>
  <si>
    <t>Row 4: No entry. This field will auto populate. The County code is consistent with the coding system used in the Data Collection and Reporting system.</t>
  </si>
  <si>
    <t>Row 5: Enter the administrative headquarters address for the County Mental Health or Behavioral Health Department as appropriate.</t>
  </si>
  <si>
    <t>Row 6: Enter the administrative headquarters city for the County Mental Health or Behavioral Health Department as appropriate.</t>
  </si>
  <si>
    <t>Row 7: Enter the administrative headquarters zip code for the County Mental Health or Behavioral Health Department as appropriate.</t>
  </si>
  <si>
    <r>
      <t xml:space="preserve">Row 8: No entry. This field will auto-populate “Yes” if the County’s population is equal to or greater than 200,000 or “No” if the County’s population is less than 200,000. Population data is available at: </t>
    </r>
    <r>
      <rPr>
        <sz val="12"/>
        <color rgb="FF0563C1"/>
        <rFont val="Arial"/>
        <family val="2"/>
      </rPr>
      <t>http://dof.ca.gov/Forecasting/Demographics/Estimates/E-1/</t>
    </r>
  </si>
  <si>
    <r>
      <t xml:space="preserve">Row 9: </t>
    </r>
    <r>
      <rPr>
        <sz val="12"/>
        <color theme="1"/>
        <rFont val="Arial"/>
        <family val="2"/>
      </rPr>
      <t>Enter the name of the person who prepared the ARER or is responsible for responding to inquiries about the ARER.</t>
    </r>
  </si>
  <si>
    <r>
      <t xml:space="preserve">Row 10: </t>
    </r>
    <r>
      <rPr>
        <sz val="12"/>
        <color theme="1"/>
        <rFont val="Arial"/>
        <family val="2"/>
      </rPr>
      <t>Enter the title of the person who prepared the ARER or is responsible for responding to inquiries about the ARER</t>
    </r>
    <r>
      <rPr>
        <sz val="12"/>
        <color rgb="FF000000"/>
        <rFont val="Arial"/>
        <family val="2"/>
      </rPr>
      <t>.</t>
    </r>
  </si>
  <si>
    <r>
      <t xml:space="preserve">Row 11: </t>
    </r>
    <r>
      <rPr>
        <sz val="12"/>
        <color theme="1"/>
        <rFont val="Arial"/>
        <family val="2"/>
      </rPr>
      <t>Enter the contact Email address of the person who prepared the ARER or is responsible for responding to inquiries about the ARER</t>
    </r>
    <r>
      <rPr>
        <sz val="12"/>
        <color rgb="FF000000"/>
        <rFont val="Arial"/>
        <family val="2"/>
      </rPr>
      <t>.</t>
    </r>
  </si>
  <si>
    <r>
      <t xml:space="preserve">Row 12: </t>
    </r>
    <r>
      <rPr>
        <sz val="12"/>
        <color theme="1"/>
        <rFont val="Arial"/>
        <family val="2"/>
      </rPr>
      <t>Enter the contact telephone number of the person who prepared the ARER or is responsible for responding to inquiries about the ARER.</t>
    </r>
  </si>
  <si>
    <t>Row 1, Column D: Enter the amount of Behavioral Health Subaccount funds expended for PEI Annual Planning.</t>
  </si>
  <si>
    <t>Row 1, Column D: Enter the amount of Behavioral Health Subaccount funds expended for CSS Annual Planning.</t>
  </si>
  <si>
    <t>Row 4, Column C: No entry. This amount is the sum of Row 4, Columns A-B. The amount will reflect as a negative amount.</t>
  </si>
  <si>
    <t xml:space="preserve">Row 14, Column F: No entry. This amount is the sum of Row 9, Column A-E. </t>
  </si>
  <si>
    <t>Row 19, Column A: No entry. Data will auto populate from Worksheet 4. PEI, Section One, Row 4, Column A.</t>
  </si>
  <si>
    <t>MHSA PEI Fund Expenditures in Program to Clients Age 25 and Under (calculated from weighted program values) divided by Total MHSA PEI Expenditures</t>
  </si>
  <si>
    <t>Row 2, Column D: Enter the amount of Behavioral Health Subaccount funds expended for PEI Evaluation.</t>
  </si>
  <si>
    <t>Row 1, Column D: Enter the amount of Behavioral Health Subaccount funds expended for WET Annual Planning.</t>
  </si>
  <si>
    <t>Row 1, Column D: Enter the amount of Behavioral Health Subaccount funds expended for INN Annual Planning.</t>
  </si>
  <si>
    <t>Row 1, Column D: Enter the amount of Behavioral Health Subaccount funds expended for CFTN Annual Planning.</t>
  </si>
  <si>
    <t>Row 7, Column C: No entry. This amount is the sum of Row 3, Column C, Row 4 Column C, Row 5 Column C, and Row 6 Column C.</t>
  </si>
  <si>
    <t>Row 3, Column D: Enter the amount of Behavioral Health Subaccount funds expended for PEI Administration.</t>
  </si>
  <si>
    <t>Row 2, Column D: Enter the amount of Behavioral Health Subaccount funds expended for WET Evaluation.</t>
  </si>
  <si>
    <t>Row 3, Column D: Enter the amount of Behavioral Health Subaccount funds expended for WET Administration.</t>
  </si>
  <si>
    <t>Row 2, Column D: Enter the amount of Behavioral Health subaccount funds expended for CFTN Evaluation.</t>
  </si>
  <si>
    <t>Row 3, Column D: Enter the amount of Behavioral Health subaccount funds expended for CFTN Administration.</t>
  </si>
  <si>
    <t>Row 2, Column D: Enter the amount of Behavioral Health subaccount funds expended for CSS Evaluation.</t>
  </si>
  <si>
    <t>Row 2, Column D: Enter the amount of Behavioral Health subaccount funds expended for INN Indirect Administration.</t>
  </si>
  <si>
    <t>Total CFTN Expenditures (Excluding Transfers to JPA)</t>
  </si>
  <si>
    <t>Rows 1-40, Column G: No entry. This amount is the sum of Rows 1-40, Columns E-F.</t>
  </si>
  <si>
    <t>Press UP or DOWN arrow to read through the instructions.</t>
  </si>
  <si>
    <t xml:space="preserve">Use UP or DOWN arrow to navigate spreadsheet. </t>
  </si>
  <si>
    <t xml:space="preserve">Use UP or DOWN arrow to navigate through spreadsheet. </t>
  </si>
  <si>
    <t xml:space="preserve">MHSA </t>
  </si>
  <si>
    <t>P</t>
  </si>
  <si>
    <t xml:space="preserve">Row 4, Column A: Enter the amount of MHSA funds, including interest, expended by CalMHSA on behalf of the County for authorized PEI Statewide Projects during the reporting fiscal year. PEI Statewide Project funding was made available to counties in FY 2008-09 through FY 2011-12. To avoid double counting, funds reported here as expended will not be included in Row 9, Column A. They are reported separately on Worksheet 2. Component Summary, Row 19, Column A. </t>
  </si>
  <si>
    <t>Total CSS Expenditures (Excluding Funds Transferred to JPA, PEI, WET, CFTN, and PR)</t>
  </si>
  <si>
    <t>MHSA IGT</t>
  </si>
  <si>
    <t xml:space="preserve">Row 11, Column F: No entry. This amount is equal to the sum of Row 12, Columns A-E. </t>
  </si>
  <si>
    <t>Row 12, Column A: No entry. This amount is equal to the sum of Rows 1-3 and 5-12, Column A.</t>
  </si>
  <si>
    <t>Row 12, Column B: No entry. This amount is equal to the sum of Rows 1-3 and 5-12, Column B.</t>
  </si>
  <si>
    <t>Row 12, Column C: No entry. This amount is equal to the sum of Rows 1-3 and 5-12, Column C.</t>
  </si>
  <si>
    <t>Row 12, Column D: No entry. This amount is equal to the sum of Rows 1-3 and 5-12, Column D.</t>
  </si>
  <si>
    <t>Row 12, Column E: No entry. This amount is equal to the sum of Rows 1-3 and 5-12, Column E.</t>
  </si>
  <si>
    <t>Row 12, Column F: No entry. This amount is equal to the sum of Row 13, Columns A-E.</t>
  </si>
  <si>
    <t>Row 13, Column A: No entry. This amount is equal to the sum of Rows 1-3, 5-6, and 12, Column A.</t>
  </si>
  <si>
    <t>Row 13: Column B: No entry. This amount is equal to the sum of Rows 1-3, 5-6, and 12, Column B.</t>
  </si>
  <si>
    <t>Row 13: Column C: No entry. This amount is equal to the sum of Rows 1-3, 5-6, and 12, Column C.</t>
  </si>
  <si>
    <t>Row 13: Column D: No entry. This amount is equal to the sum of Rows 1-3, 5-6, and 12, Column D.</t>
  </si>
  <si>
    <t>Row 13: Column E: No entry. This amount is equal to the sum of Rows 1-3, 5-6, and 12, Column E.</t>
  </si>
  <si>
    <t>Row 13: Column F: No entry. This amount is equal to the sum of Row 14, Columns A-E.</t>
  </si>
  <si>
    <t>Rows 14-113,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</si>
  <si>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Rows 14-113 Column B: Enter the Program name for each CSS program funded by the CSS Account. Program name must be consistent with Program Name provided in the most recent MHSA Three-Year Program and Expenditure Plan or Annual Update covering the same Fiscal Year. If a County has changed the name of a Program subsequent to publication of the relevant Three-Year Program and Expenditure Plan or Annual Update, the County must provide the name change on worksheet 10. Comments.</t>
  </si>
  <si>
    <t xml:space="preserve">Rows 14-113, Column C: If the Program name is identical to the Program name reported in the prior year ARER or this is a new program this reporting year, no entry. If the Program name has changed from what was reported on the prior year ARER, enter the name used to identify this Program in the prior year ARER. If this program represents a combination of two or more programs formerly reported separately, or if this program was formerly combined with another Program, leave this field blank, but provide a comment on the Worksheet 10. </t>
  </si>
  <si>
    <t>Rows 14-113, Column D: Selection only. Select the program type from the drop-down menu. Options are Full-Service Partnership (FSP) or non-Full-Service Partnership (Non-FSP). Non-FSP includes General System Development and Outreach and Engagement programs.</t>
  </si>
  <si>
    <t>Rows 14-113, Column E: Enter the amount of MHSA funds, including Interest, expended for goods and services delivered in each CSS program during the reporting fiscal year.</t>
  </si>
  <si>
    <t xml:space="preserve">Rows 14-113, Column J: Enter the amount of Other funds expended for goods and services delivered in each CSS program during the reporting fiscal year. </t>
  </si>
  <si>
    <t>Row 6, Column A: Enter the amount of MHSA funds, including interest, expended by a JPA on behalf of the County during the reporting fiscal year for authorized PEI programs. Transfers of MHSA PEI funds made to a JPA for State-Level Projects should not be reflected as PEI Funds Expended by CalMHSA for PEI Statewide (Row 4). Funds reported here as transferred will not increase the Total PEI Expenditures (Row 8).</t>
  </si>
  <si>
    <t>Row 6, Column F: No entry. This amount is equal to Row 7, Column A.</t>
  </si>
  <si>
    <t>Row 7, Column E: No entry. This amount is equal to the sum of Rows 10-109, Column O.</t>
  </si>
  <si>
    <t>Row 7, Column F: No entry. This amount is equal to the sum of Row 8, Columns A-E.</t>
  </si>
  <si>
    <t>Row 8, Column A: No entry. This amount is equal to the sum of Rows 1-3 and 7-8, Column A.</t>
  </si>
  <si>
    <t>Row 8, Column B: No entry. This amount is equal to the sum of Rows 1-3 and 7-8, Column B.</t>
  </si>
  <si>
    <t>Row 8, Column C: No entry. This amount is equal to the sum of Rows 1-3 and 7-8, Column C.</t>
  </si>
  <si>
    <t>Row 8, Column D: No entry. This amount is equal to the sum of Rows 1-3 and 7-8, Column D.</t>
  </si>
  <si>
    <t>Row 8, Column E: No entry. This amount is equal to the sum of Rows 1-3 and 7-8, Column E.</t>
  </si>
  <si>
    <t xml:space="preserve">Row 9, Column A: No entry. This amount is equal to the sum of Rows 10-109, Column I divided by Row 8, Column A. Per California Code of Regulations (CCR), title 9, section 3706(a), counties are required to serve all ages in one or more PEI programs. Per section 3706(b), counties are required to use at least 51 percent of the Prevention and Early Intervention Fund to serve individuals who are 25 years old or younger. Per section 3760(c), programs that serve parents, caregivers, or family members with the goal of addressing MHSA outcomes for children or youth at risk of or with early onset of a mental illness can be counted as meeting this requirement.  A County with population under 200,000 that meets certain conditions may opt out of this requirement (CCR Title 9, Section 3706(d)). </t>
  </si>
  <si>
    <t>Rows 10-109,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</si>
  <si>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Rows 10-109, Column B: Enter the Program name for each PEI program funded by the PEI Account. Program name must be consistent with Program Name provided in the most recent MHSA Three-Year Program and Expenditure Plan or Annual Update covering the same Fiscal Year. Each Standalone and Combined Program must have a unique name to ensure the calculation in Column H  functions properly. If a County has changed the name of a Program subsequent to publication of the relevant Three-Year Program and Expenditure Plan or Annual Update, the County must provide the name change on worksheet 10. Comments.</t>
  </si>
  <si>
    <t xml:space="preserve">Rows 10-109, Column C: If the Program name is identical to the Program name reported in the prior year ARER or this is a new program this reporting year, no entry. If the Program name has changed from what was reported on the prior year ARER, enter the name used to identify this Program in the prior year ARER. If this program represents a combination of two or more programs formerly reported separately, or if this program was formerly combined with another Program, leave this field blank, but provide a comment on the Worksheet 10. </t>
  </si>
  <si>
    <t>Rows 10-109, Column D: Selection only. Select the  program type. Options are Combined or Standalone. If the row data refers to a Program Activity within a Combined Program or to summary information for a Combined Program, select Combined. Otherwise, select Standalone. Counties may combine an Early Intervention Program with a Prevention Program as long as the requirements in CCR, Sections 3710 and 3720 are met.</t>
  </si>
  <si>
    <t>Rows 10-109, Column E: Selection only. Identify the program type for each program and program activity funded with PEI funds. Options include Early Intervention Program (CCR, Section 3710), Outreach for Increasing Recognition of Early Signs of Mental Illness (CCR Section 3715), Prevention Program (CCR Section 3720), Stigma and Discrimination Reduction Program (CCR Section 3725), Access and Linkage to Treatment Program (CCR Section 3726), Suicide Prevention Programs (CCR Section 3730), Improving Timely Access to Services for Underserved Populations (CCR 3735(a)(2)(A), or Combined Summary (CCR Section 3510.010(a)(1)(A)1.If the County provides for its Outreach for Increasing Recognition of Early Signs of Mental Illness Program through another MHSA component, explain on worksheet 10. Comments.</t>
  </si>
  <si>
    <t>Rows 10-109, Column F: For Combined Programs, enter the name for each Program Activity row used to report data for the Combined Program. Do not enter data into this cell for Standalone programs and Combined Summary rows.</t>
  </si>
  <si>
    <t>Rows 10-109, Column G: Enter an estimate of the percentage of MHSA PEI expenditures in a Combined Program dedicated to the selected Program Activity in the Program Type column (Column E). Enter a value between zero and 100. For Programs designated as Standalone in Column D, enter 100.  Do not enter data in this column for rows identified as program summary rows. The sum of percentages reported for Program Activities in a Combined Program must equal 100.</t>
  </si>
  <si>
    <t>Rows 10-109, Column H: Enter an estimate of the percentage of Total MHSA Fund program expenditures (Column J) dedicated to clients age 25 and under. Enter as a value between zero and 100.  For Program Activities within a Combined Program, estimate the percentage of the Program Activity expenditures dedicated to serving clients age 25 and under. Leave blank if Column E is selected as Combined Summary.</t>
  </si>
  <si>
    <t>Rows 10-109, Column I: No entry. The cell auto-populates from data entered in Column G and Column H. This cell displays the weighted average of the percentages reported for each of the Program Activities within the Combined Program. The weighted average is the sum of Columns G and H.</t>
  </si>
  <si>
    <t>Rows 10-109, Column J: Enter the amount of MHSA PEI component funds, including interest, expended for goods and services delivered during the reporting year for each program. For a Combined Program, enter expenditure data only for the summary row (Program Type “Combined Summary” in Column E).</t>
  </si>
  <si>
    <t xml:space="preserve">Rows 10-109, Column O: Enter the amount of Other Funds expended for goods and services delivered during the reporting year for each program. For a Combined Program, enter expenditure data only for the summary row. </t>
  </si>
  <si>
    <r>
      <t>Rows 10-109, Column P</t>
    </r>
    <r>
      <rPr>
        <b/>
        <sz val="12"/>
        <color theme="1"/>
        <rFont val="Arial"/>
        <family val="2"/>
      </rPr>
      <t xml:space="preserve">: </t>
    </r>
    <r>
      <rPr>
        <sz val="12"/>
        <color theme="1"/>
        <rFont val="Arial"/>
        <family val="2"/>
      </rPr>
      <t>No entry. This amount is the sum of Columns J-O. The Column should be blank for program activity rows within a combined program.</t>
    </r>
  </si>
  <si>
    <t>Row 4, Column A: Enter the amount of MHSA funds, including interest, expended by a JPA on behalf of the County during the reporting fiscal year for authorized INN projects. Funds reported here as transferred will not increase the Total INN Expenditures (Row 10).</t>
  </si>
  <si>
    <t>Row 4, Column F: No entry. This amount is equal to Row 5, Column A.</t>
  </si>
  <si>
    <t>Row 5, Column E: No entry. This amount is equal to the sum of Rows 11-35, Column N identified as Project Administration in Column H.</t>
  </si>
  <si>
    <t>Row 5, Column F: No entry. This amount is equal to the sum of Row 5, Columns A-E.</t>
  </si>
  <si>
    <t>Row 6, Column E: No entry. This amount is equal to the sum of Rows 11-35, Column N identified as Project Evaluation in Column H.</t>
  </si>
  <si>
    <t>Row 6, Column F: No entry. This amount is equal to the sum of Row 7, Columns A-E.</t>
  </si>
  <si>
    <t>Row 7, Column E: No entry. This amount is equal to the sum of Rows 11-35, Column N identified as Project Direct in Column H.</t>
  </si>
  <si>
    <t>Row 7, Column F: No entry. This amount is equal to the sum of Rows 8, Columns A-E.</t>
  </si>
  <si>
    <t>Row 8, Column A: No entry. This amount is equal to the sum of Rows 6-8, Column A.</t>
  </si>
  <si>
    <t>Row 8, Column B: No entry. This amount is equal to the sum of Rows 6-8, Column B.</t>
  </si>
  <si>
    <t>Row 8, Column C: No entry. This amount is equal to the sum of Rows 6-8, Column C.</t>
  </si>
  <si>
    <t>Row 8, Column D: No entry. This amount is equal to the sum of Rows 6-8, Column D.</t>
  </si>
  <si>
    <t>Row 8, Column E: No entry. This amount is equal to the sum of Rows 6-8, Column E.</t>
  </si>
  <si>
    <t>Row 8, Column F: No entry. This amount is equal to the sum of Row 9, Columns A-E.</t>
  </si>
  <si>
    <t xml:space="preserve">Row 9, Column A: No entry. This amount is equal to the sum of Rows 1-2 and 5-8, Column A. </t>
  </si>
  <si>
    <t xml:space="preserve">Row 9, Column B: No entry. This amount is equal to the sum of Rows 1-2 and 6-8, Column B. </t>
  </si>
  <si>
    <t xml:space="preserve">Row 9, Column C: No entry. This amount is equal to the sum of Rows 1-2 and 6-8, Column C. </t>
  </si>
  <si>
    <t xml:space="preserve">Row 9, Column D: No entry. This amount is equal to the sum of Rows 1-2 and 6-8, Column D. </t>
  </si>
  <si>
    <t xml:space="preserve">Row 9, Column E: No entry. This amount is equal to the sum of Rows 1-2 and 6-8, Column E. </t>
  </si>
  <si>
    <t>Row 9, Column F: No entry. This amount is equal to the sum of Row 10, Columns A-E.</t>
  </si>
  <si>
    <t>Rows10A-34A,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</si>
  <si>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Rows 10A-34A, Column B: Enter the Program name for each INN project funded by the INN Account. Project name must be consistent with Project Name provided in the most recent MHSA Three-Year Program and Expenditure Plan or Annual Update covering the same Fiscal Year. If a County has changed the name of a Project subsequent to publication of the relevant Three-Year Program and Expenditure Plan or Annual Update, the County must provide the name change on worksheet 10. Comments.</t>
  </si>
  <si>
    <t xml:space="preserve">Rows 10A-34A, Column C: If the Project name is identical to the Project name reported in the prior year ARER or this is a new program this reporting year, no entry. If the Project name has changed from what was reported on the prior year ARER, enter the name used to identify this Project in the prior year ARER. If this Project represents a combination of two or more Projects formerly reported separately, or if this Project was formerly combined with another Project leave this field blank, but provide a comment on the Worksheet 10. </t>
  </si>
  <si>
    <t xml:space="preserve">Rows 10A-34A, Column D: Enter in the date of the MHSOAC meeting in which the MHSOAC initially approved the Project. </t>
  </si>
  <si>
    <t>Rows 10A-34A, Column E: Enter in the start date for the Project. The start date is the date on which the County began implementing the project. INN projects are time-limited projects that can extend a maximum of five years from their respective Start Date. (California Code of Regulations, Title 9, Section 3910.010(a))</t>
  </si>
  <si>
    <t>Rows 10A-34A, Column F: Enter the amount of MHSA INN funding the MHSOAC initially authorized for the Project on the date entered in Column E. Provide a comment in Worksheet 10. Comments explaining the amount authorized, including any specific MHSA INN allocations designed for expenditure in the approved project.</t>
  </si>
  <si>
    <t>Rows 10A-34A, Column G: If the Project has not been amended, no entry. Otherwise, enter the additional amount of MHSA INN funding authorized by the MHSOAC for the Project through an amendment. The sum of Column F and Column G should equal the total amount the MHSOAC authorized for the Project through the amendment. Provide a comment in Worksheet 10. Comments explaining the additional amount authorized, including any specific MHSA INN allocations designed for expenditure in the approved project.</t>
  </si>
  <si>
    <t>Rows 10A-34A, Column H: No entry.</t>
  </si>
  <si>
    <t>Rows 10A-34A, Column I: Enter the amount of MHSA funds, including interest, expended for goods and services delivered during the reporting fiscal year for each Project, for Project Administration.</t>
  </si>
  <si>
    <t>Rows 10A-34A, Column N: Enter the amount of Other funds expended for goods and services delivered during the reporting fiscal year for each Project, for Project Administration.</t>
  </si>
  <si>
    <t>Rows 10A-34A, Column O: No entry. This amount is the sum of Rows 11A-35A, Columns I-N.</t>
  </si>
  <si>
    <t>Rows10B-34B,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</si>
  <si>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 xml:space="preserve">Rows 10B-34B, Column H: No entry. </t>
  </si>
  <si>
    <t>Rows 10B-34B, Column I: Enter the amount of MHSA funds, including interest, expended for goods and services delivered during the reporting fiscal year for each Project, for Project Evaluation.</t>
  </si>
  <si>
    <t>Rows 10B-34B, Column N: Enter the amount of Other funds expended for goods and services delivered during the reporting fiscal year for each Project, for Project Evaluation.</t>
  </si>
  <si>
    <t>Rows 10B-34B, Column O: No entry. This amount is the sum of Rows 10B-34B, Columns I-N.</t>
  </si>
  <si>
    <t>Rows10C-34C,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</si>
  <si>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 xml:space="preserve">Rows 10C-34C, Column H: No entry. </t>
  </si>
  <si>
    <t>Rows 10C-34C, Column I: Enter the amount of MHSA funds, including interest, expended for goods and services delivered during the reporting fiscal year for each Project, for Project Direct.</t>
  </si>
  <si>
    <t>Rows 10C-34C, Column N: Enter the amount of Other funds expended for goods and services delivered during the reporting fiscal year for each Project, for Project Direct.</t>
  </si>
  <si>
    <t>Rows 10C-34C, Column O: No entry. This amount is the sum of Rows 10C-34C, Columns I-N.</t>
  </si>
  <si>
    <t>Rows10D-34D,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</si>
  <si>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 xml:space="preserve">Rows 10D-34D, Column H: No entry. </t>
  </si>
  <si>
    <t>Rows 10D-34D, Column O: No entry. This amount is the sum of Rows 10D-34D, Columns I-N.</t>
  </si>
  <si>
    <t>Rows 10B-34B, Column B: No entry. This data autopopulates from Rows 10A-34A, Column B.</t>
  </si>
  <si>
    <t>Rows 10B-34B, Column C: No entry. This data autopopulates from Rows 10A-34A, Column C.</t>
  </si>
  <si>
    <t>Rows 10B-34B, Column D: No entry. This data autopopulates from Rows 10A-34A, Column D.</t>
  </si>
  <si>
    <t>Rows 10B-34B, Column E: No entry. This data autopopulates from Rows 10A-34A, Column E.</t>
  </si>
  <si>
    <t>Rows 10B-34B, Column F: No entry. This data autopopulates from Rows 10A-34A, Column F.</t>
  </si>
  <si>
    <t>Rows 10B-34B, Column G: No entry. This data autopopulates from Rows 10A-34A, Column G.</t>
  </si>
  <si>
    <t>Rows 10C-34C, Column B: No entry. This data autopopulates from Rows 10A-34A, Column B.</t>
  </si>
  <si>
    <t>Rows 10C-34C, Column C: No entry. This data autopopulates from Rows 10A-34A, Column C.</t>
  </si>
  <si>
    <t>Rows 10C-34C, Column D: No entry. This data autopopulates from Rows 10A-34A, Column D.</t>
  </si>
  <si>
    <t>Rows 10C-34C, Column E: No entry. This data autopopulates from Rows 10A-34A, Column E.</t>
  </si>
  <si>
    <t>Rows 10C-34C, Column F: No entry. This data autopopulates from Rows 10A-34A, Column F.</t>
  </si>
  <si>
    <t>Rows 10C-34C, Column G: No entry. This data autopopulates from Rows 10A-34A, Column G.</t>
  </si>
  <si>
    <t>Rows 10D-34D, Column B: No entry. This data autopopulates from Rows 10A-34A, Column B.</t>
  </si>
  <si>
    <t>Rows 10D-34D, Column C: No entry. This data autopopulates from Rows 10A-34A, Column C.</t>
  </si>
  <si>
    <t>Rows 10D-34D, Column D: No entry. This data autopopulates from Rows 10A-34A, Column D.</t>
  </si>
  <si>
    <t>Rows 10D-34D, Column E: No entry. This data autopopulates from Rows 10A-34A, Column E.</t>
  </si>
  <si>
    <t>Rows 10D-34D, Column F: No entry. This data autopopulates from Rows 10A-34A, Column F.</t>
  </si>
  <si>
    <t>Rows 10D-34D, Column G: No entry. This data autopopulates from Rows 10A-34A, Column G.</t>
  </si>
  <si>
    <t>Rows 10D-34D, Column I: No entry. This amount is the sum of Rows 10A-34A, Rows 10B-34B, Rows 10C-34C, Column I.</t>
  </si>
  <si>
    <t>Rows 10D-34D, Column K: No entry. This amount is the sum of Rows 10A-34A, Rows 10B-34B, Rows 10C-34C, Column K.</t>
  </si>
  <si>
    <t>Rows 10D-34D, Column J: No entry. This amount is the sum of Rows 10A-34A, Rows 10B-34B, Rows 10C-34C, Column J.</t>
  </si>
  <si>
    <t>Rows 10D-34D, Column L: No entry. This amount is the sum of Rows 10A-34A, Rows 10B-34B, Rows 10C-34C, Column L.</t>
  </si>
  <si>
    <t>Rows 10D-34D, Column M: No entry. This amount is the sum of Rows 10A-34A, Rows 10B-34B, Rows 10C-34C, Column M.</t>
  </si>
  <si>
    <t>Rows 10D-34D, Column N: No entry. This amount is the sum of Rows 10A-34A, Rows 10B-34B, Rows 10C-34C, Column N.</t>
  </si>
  <si>
    <t>Total MHSA IGT Transfer</t>
  </si>
  <si>
    <t>SECTION 5: Miscellaneous MHSA Costs, Expenditures, and Transfers</t>
  </si>
  <si>
    <t>Rows 14-113, Column G: Enter the amount of Medi-Cal FFP funds expended for goods and services delivered in each CSS program during the reporting fiscal year.</t>
  </si>
  <si>
    <t>Rows 14-113, Column H: Enter the amount of 1991 Realignment funds expended for goods and services delivered in each CSS program during the reporting fiscal year.</t>
  </si>
  <si>
    <t>Rows 14-113, Column I: Enter the amount of Behavioral Health Subaccount funds expended for goods and services delivered in each CSS program during the reporting fiscal year.</t>
  </si>
  <si>
    <t>Row 20, Column A: Enter the amount of unencumbered MHSA Housing Program funds expended for goods or services, if applicable. CalHFA released unencumbered HP and SNHP funds directly to the county. These funds are subject to reversion. The County must report expenditure of those funds in the County’s Annual Revenue and Expenditure Report beginning in the fiscal year CalHFA releases the funds to the county.</t>
  </si>
  <si>
    <t>Rows 10-109, Column L: Enter the amount of Medi-Cal FFP funds expended for goods and services delivered during the reporting year for each program. For a Combined Program, enter expenditure data only for the summary row (Program Type “Combined Summary” in Column E).</t>
  </si>
  <si>
    <t>Rows 10-109, Column M: Enter the amount of 1991 Realignment funds expended for goods and services delivered during the reporting year for each program. For a Combined Program, enter expenditure data only for the summary row (Program Type “Combined Summary” in Column E).</t>
  </si>
  <si>
    <t>Rows 10-109, Column N: Enter the amount of Behavioral Health Subaccount funds expended for goods and services delivered during the reporting year for each program. For a Combined Program, enter expenditure data only for the summary row (Program Type “Combined Summary” in Column E).</t>
  </si>
  <si>
    <t>Rows 10A-34A, Column K: Enter the amount of Medi-Cal FFP funds expended for goods and services delivered during the reporting fiscal year for each Project, for Project Administration.</t>
  </si>
  <si>
    <t>Rows 10A-34A, Column L: Enter the amount of 1991 Realignment funds expended for goods and services delivered during the reporting fiscal year for each Project, for Project Administration.</t>
  </si>
  <si>
    <t>Rows 10A-34A, Column M: Enter the amount of Behavioral Health Subaccount funds expended for goods and services delivered during the reporting fiscal year for each Project, for Project Administration.</t>
  </si>
  <si>
    <t>Rows 10B-34B, Column K: Enter the amount of Medi-Cal FFP funds expended for goods and services delivered during the reporting fiscal year for each Project, for Project Evaluation.</t>
  </si>
  <si>
    <t>Rows 10B-34B, Column L: Enter the amount of 1991 Realignment funds expended for goods and services delivered during the reporting fiscal year for each Project, for Project Evaluation.</t>
  </si>
  <si>
    <t>Rows 10B-34B, Column M: Enter the amount of Behavioral Health Subaccount funds expended for goods and services delivered during the reporting fiscal year for each Project, for Project Evaluation.</t>
  </si>
  <si>
    <t>Rows 10C-34C, Column K: Enter the amount of Medi-Cal FFP funds expended for goods and services delivered during the reporting fiscal year for each Project, for Project Direct.</t>
  </si>
  <si>
    <t>Rows 10C-34C, Column L: Enter the amount of 1991 Realignment funds expended for goods and services delivered during the reporting fiscal year for each Project, for Project Direct.</t>
  </si>
  <si>
    <t>Rows 10C-34C, Column M: Enter the amount of Behavioral Health Subaccount funds expended for goods and services delivered during the reporting fiscal year for each Project, for Project Direct.</t>
  </si>
  <si>
    <t>Row 5, Column A: No entry. Data will auto populate from Worksheet 3. CSS, Row 10, Column A.</t>
  </si>
  <si>
    <t>Row 5, Column C: No entry. Data will auto populate from Row 5, Column A.</t>
  </si>
  <si>
    <t xml:space="preserve">Row 6, Column C: No entry. Data will auto populate from Worksheet 8. Adjustment (MHSA), Section Three, Row 1-30, Column D. </t>
  </si>
  <si>
    <t>Row 8, Column A: No entry. Data will auto populate from the Worksheet 3. CSS and is the sum of Row 7 Column A, Row 8 Column A, Row 9 Column A, and Row 10 Column A. The amount will reflect as a negative amount.</t>
  </si>
  <si>
    <t>Row 8, Column D: Enter the amount of Medi-Cal FFP funds expended for goods and services delivered during the reporting fiscal year for Workforce Staffing.</t>
  </si>
  <si>
    <t>Row 9, Column D: Enter the amount of Medi-Cal FFP funds expended for goods and services delivered during the reporting fiscal year for Training/Technical Assistance.</t>
  </si>
  <si>
    <t>Row 10, Column D: Enter the amount of Medi-Cal FFP funds expended for goods and services delivered during the reporting fiscal year for Mental Health Career Pathways.</t>
  </si>
  <si>
    <t>Row 11, Column D: Enter the amount of Medi-Cal FFP funds expended for goods and services delivered during the reporting fiscal year for Residency/Internship.</t>
  </si>
  <si>
    <t>Row 22, Column A: Enter the total MHSA funds the county transferred to DHCS as an Intergovernmental Transfer (IGT) to be spent on Medi-Cal covered MHSA allowable services. Enter $0 if there were no IGT Transfers.</t>
  </si>
  <si>
    <t>Rows 10B-34B, Column J: Enter the amount of MHSA funds from a Intergovernmental Transfer (IGT) that the county expended for goods and services delivered during the reporting fiscal year for each Project, for Project Evaluation. To avoid double counting, counties should not include these expenditures in column I.</t>
  </si>
  <si>
    <t>Rows 10C-34C, Column J: Enter the amount of MHSA funds from a Intergovernmental Transfer (IGT) that the county expended for goods and services delivered during the reporting fiscal year for each Project, for Project Direct. To avoid double counting, counties should not include these expenditures in column I.</t>
  </si>
  <si>
    <t>Rows 14-113, Column F: Enter the amount of MHSA funds from an Intergovernmental Transfer (IGT) that the county expended for goods and services delivered in each CSS program during the reporting fiscal year. To avoid double counting, counties should not include these expenditures in column E.</t>
  </si>
  <si>
    <t>Rows 10-109, Column K: Enter the amount of MHSA funds from an Intergovernmental Transfer (IGT) that the county expended for goods and services delivered during the reporting year for each program. For a Combined Program, enter expenditure data only for the summary row. To avoid double counting, counties should not include these expenditures in column J.</t>
  </si>
  <si>
    <t>Rows 10A-34A, Column J: Enter the amount of MHSA funds from an Intergovernmental Transfer (IGT) that the county expended for goods and services delivered during the reporting fiscal year for each Project, for Project Administration. To avoid double counting, counties should not include these expenditures in column I.</t>
  </si>
  <si>
    <t>Transfer from Local Prudent Reserve to CSS or PEI</t>
  </si>
  <si>
    <t xml:space="preserve">Press TAB to jump to cells that require data entry. The tab order will take you across the table by row. The document will identify what each cell is for as you tab into. Press UP or DOWN arrow to read through P E I spreadsheet. In section 1, use the UP and DOWN arrow for different P E I expenditure types. Use LEFT or RIGHT arrow on these cell rows to input amount of funding type. In section 2, use LEFT or RIGHT and UP and DOWN arrows to navigate headers. In section 3, use LEFT or RIGHT arrows to navigate headers for P E I program components on the header rows. Use UP or DOWN arrows to read each Program Name and LEFT or RIGHT arrows on the rows below the headers to input dollar amount needed. </t>
  </si>
  <si>
    <t>Press TAB to jump to cells that require data entry. The tab order will take you across the table by row. The document will identify what each cell is for as you tab into it. Press UP or DOWN arrow to read through C S S spreadsheet. In section 1, use UP and DOWN arrow for different C S S expenditure types. Use LEFT or RIGHT arrow on these cell rows to input amount of funding type. In section 2, use LEFT or RIGHT arrow to navigate different headers. Use UP and DOWN arrow to input dollar amount designated for each column.</t>
  </si>
  <si>
    <t>Press TAB to jump to cells that require data entry. The tab order will take you across the table by row. The document will identify what each cell is for as you tab into it. Press UP or DOWN arrow to navigate through section tables. Press UP and DOWN arrow to read expenditure types. Press LEFT or RIGHT arrow on each row to input funding amounts.</t>
  </si>
  <si>
    <t xml:space="preserve">Press TAB to jump to cells that require data entry. The tab order will take you across the table by row. The document will identify what each cell is for as you tab into it. Press UP or DOWN arrow to read through table. Use UP or DOWN arrow to read through document. Press LEFT or RIGHT arrow to input needed information. </t>
  </si>
  <si>
    <t>Adjustment to Fiscal Year 
(20YY-YY)</t>
  </si>
  <si>
    <t>Adjustment to FY (20YY-YY)</t>
  </si>
  <si>
    <t xml:space="preserve">Press TAB to jump to cells that require data entry. The tab order will take you across the table by row. The document will identify what each cell is for as you tab into it. Press UP or DOWN arrow to leave comments on the cell rows. </t>
  </si>
  <si>
    <t xml:space="preserve">Press TAB to jump to cells that require data entry. The tab order will take you across the table by row. The document will identify what each cell is for as you tab into it. Press UP or DOWN arrow to input items into each row. Use LEFT or RIGHT arrow on Row 12 to read the headers for information needed. </t>
  </si>
  <si>
    <t>Fiscal Year
(FY 20YY-YY)</t>
  </si>
  <si>
    <t xml:space="preserve">Press TAB to jump to cells that require data entry. The tab order will take you across the table by row. The document will identify what each cell is for as you tab into. Press UP or DOWN arrow to read through I N N spreadsheet. In section 1, use UP and DOWN arrow for different I N N expenditure types. Use LEFT or RIGHT arrow on these cell rows to input amount of funding type. In section 2, use LEFT or RIGHT arrow to navigate different headers. Use UP and DOWN arrow to input necessary information designated for each column. </t>
  </si>
  <si>
    <t xml:space="preserve">Press TAB to jump to cells that require data entry. The tab order will take you across the table by row. The document will identify what each cell is for as you tab into it. Press UP or DOWN arrow to read through the W E T spreadsheet. In section 1, use the UP and DOWN arrow for different W E T expenditures. Use LEFT or RIGHT arrow on these cell rows to input amount of fund type. In section 2, use the UP and DOWN arrow to read through the different funding categories and use LEFT or RIGHT arrow to input amount of fund type. </t>
  </si>
  <si>
    <t xml:space="preserve">Press TAB to jump to cells that require data entry. The tab order will take you across the table by row. The document will identify what each cell is for as you tab into it. Press UP or DOWN arrow to navigate through C F T N spreadsheet. In section 1, use UP and DOWN arrow to read the C F T N expenditures and use the LEFT or RIGHT arrows to input amount of funding type. In section 2, use LEFT or RIGHT arrow on the header column to read about project components and use the UP or DOWN arrow on these cells to input needed information. </t>
  </si>
  <si>
    <r>
      <t>Rows 14-113, Column K: No entry. This field represents the sum of Rows 14-113, Columns E-J</t>
    </r>
    <r>
      <rPr>
        <sz val="11"/>
        <color theme="1"/>
        <rFont val="Calibri"/>
        <family val="2"/>
        <scheme val="minor"/>
      </rPr>
      <t> </t>
    </r>
    <r>
      <rPr>
        <sz val="12"/>
        <color theme="1"/>
        <rFont val="Arial"/>
        <family val="2"/>
      </rPr>
      <t>.</t>
    </r>
  </si>
  <si>
    <t xml:space="preserve">Row 11, Column A: No entry. This amount is equal to Rows 14-114, Column E + Column F. </t>
  </si>
  <si>
    <t>Row 11, Column B: No entry. This amount is equal to Rows 14-114, Column G.</t>
  </si>
  <si>
    <t>Row 11, Column C: No entry. This amount is equal to Rows 14-114, Column H.</t>
  </si>
  <si>
    <t>Row 11, Column D: No entry. This amount is equal to Rows 14-114, Column I.</t>
  </si>
  <si>
    <t>Row 11, Column E: No entry. This amount is equal to Rows 14-114, Column J.</t>
  </si>
  <si>
    <t>Row 7, Column A: No entry. This amount is equal to the sum of Rows 10-109, Column J and Column K</t>
  </si>
  <si>
    <t>Row 7, Column B: No entry. This amount is equal to the sum of Rows 10-109, Column L.</t>
  </si>
  <si>
    <t>Row 7, Column C: No entry. This amount is equal to the sum of Rows 10-109, Column M.</t>
  </si>
  <si>
    <t>Row 7, Column D: No entry. This amount is equal to the sum of Rows 10-109, Column N.</t>
  </si>
  <si>
    <t>Row 5, Column A: No entry. This amount is equal to the sum of Rows 11-35, Column I + Column J identified as Project Administration in Column H.</t>
  </si>
  <si>
    <t>Row 5, Column B: No entry. This amount is equal to the sum of Rows 11-35, Column K identified as Project Administration in Column H.</t>
  </si>
  <si>
    <t>Row 5, Column C: No entry. This amount is equal to the sum of Rows 11-35, Column L identified as Project Administration in Column H.</t>
  </si>
  <si>
    <t>Row 5, Column D: No entry. This amount is equal to the sum of Rows 11-35, Column M identified as Project Administration in Column H.</t>
  </si>
  <si>
    <t>Row 6, Column A: No entry. This amount is equal to the sum of Rows 11-35, Column I + Column J identified as Project Evaluation in Column H.</t>
  </si>
  <si>
    <t>Row 6, Column B: No entry. This amount is equal to the sum of Rows 11-35, Column K identified as Project Evaluation in Column H.</t>
  </si>
  <si>
    <t>Row 6, Column C: No entry. This amount is equal to the sum of Rows 11-35, Column L identified as Project Evaluation in Column H.</t>
  </si>
  <si>
    <t>Row 6, Column D: No entry. This amount is equal to the sum of Rows 11-35, Column M identified as Project Evaluation in Column H.</t>
  </si>
  <si>
    <t>Row 7, Column A: No entry. This amount is equal to the sum of Rows 11-35, Column I + Column J identified as Project Direct in Column H.</t>
  </si>
  <si>
    <t>Row 7, Column B: No entry. This amount is equal to the sum of Rows 11-35, Column K identified as Project Direct in Column H.</t>
  </si>
  <si>
    <t>Row 7, Column C: No entry. This amount is equal to the sum of Rows 11-35, Column L identified as Project Direct in Column H.</t>
  </si>
  <si>
    <t>Row 7, Column D: No entry. This amount is equal to the sum of Rows 11-35, Column M identified as Project Direct in Column H.</t>
  </si>
  <si>
    <t xml:space="preserve">Row 9, Column B: Enter the estimated percentage of funding reported in Row 6, Column A, that were expended in support of clients aged 25 and under. Leave blank if there were no PEI Expenditures Incurred by JPA. </t>
  </si>
  <si>
    <t>DHCS 1822 A (12/24)</t>
  </si>
  <si>
    <t>DHCS 1822 B (12/24)</t>
  </si>
  <si>
    <t>DHCS 1822 C (12/24)</t>
  </si>
  <si>
    <t>DHCS 1822 D (12/24)</t>
  </si>
  <si>
    <t>DHCS 1822 E (12/24)</t>
  </si>
  <si>
    <t>DHCS 1822 F (12/24)</t>
  </si>
  <si>
    <t>DHCS 1822 G (12/24)</t>
  </si>
  <si>
    <t>DHCS 1822 H (12/24)</t>
  </si>
  <si>
    <t>DHCS 1822 I (12/24)</t>
  </si>
  <si>
    <t>DHCS 1822 J (12/24)</t>
  </si>
  <si>
    <t>2023-24</t>
  </si>
  <si>
    <t>20 North San Pedro Road</t>
  </si>
  <si>
    <t>San Rafael</t>
  </si>
  <si>
    <t>Shahrzad Momenzadeh</t>
  </si>
  <si>
    <t>Accountant II</t>
  </si>
  <si>
    <t>shahrzad.momenzadeh@marincounty.gov</t>
  </si>
  <si>
    <t>(415) 473 - 6935</t>
  </si>
  <si>
    <t>Electronic Health Record and Practice Mgmnt System Enhancement</t>
  </si>
  <si>
    <t>Coordinated Case Management System</t>
  </si>
  <si>
    <t>Telehealth Expansion</t>
  </si>
  <si>
    <t>Older Adult Technology Suite: Help @ Hand</t>
  </si>
  <si>
    <t>From Housing To Healing, Re-Entry Community for Women</t>
  </si>
  <si>
    <t>Student Wellness Ambassador Program (SWAP)</t>
  </si>
  <si>
    <t>FSP 01 - Youth Empowerment Services (YES)</t>
  </si>
  <si>
    <t>FSP 02 - Transitional Age Youth (TAY)</t>
  </si>
  <si>
    <t>FSP 03 - Support and Treatment After Release (STAR)</t>
  </si>
  <si>
    <t>FSP 04 - Helping Older People Excel (HOPE)</t>
  </si>
  <si>
    <t xml:space="preserve">FSP 05 - Odyssey Programs </t>
  </si>
  <si>
    <t>FSP 06 - Integrated Multi-Service Partnership Assertive Community Treatment (IMPACT) North</t>
  </si>
  <si>
    <t>FSP 07 - Integrated Multi-Service Partnership Assertive Community Treatment (IMPACT) South</t>
  </si>
  <si>
    <t>SDOE 01 - Enterprise Resource Center (ERC)</t>
  </si>
  <si>
    <t>SDOE 09 - Crisis Continuum of Care</t>
  </si>
  <si>
    <t>SDOE 10 - First Episode Psychosis</t>
  </si>
  <si>
    <t>SDOE 11 - Consumer Operated Wellness Center (Empowerment Club House)</t>
  </si>
  <si>
    <t>SDOE 13 - Recovery Oriented System Development</t>
  </si>
  <si>
    <t>SDOE 14 - Stepping Up</t>
  </si>
  <si>
    <t>SDOE 15 - Community Outreach and Engagement</t>
  </si>
  <si>
    <t>SDOE 16 - Homeless Support and Outreach</t>
  </si>
  <si>
    <t>SDOE 17 - CalAIM System Development</t>
  </si>
  <si>
    <t>SDOE 18 - Care Outreach and Treatment</t>
  </si>
  <si>
    <t>SDOE 19 - Kerner Project - Based Housing</t>
  </si>
  <si>
    <t>PEI-01 Early Childhood MH Consultation</t>
  </si>
  <si>
    <t>PEI-04 Transition Age Youth (TAY)</t>
  </si>
  <si>
    <t>PEI-05 Latino Community Connection</t>
  </si>
  <si>
    <t>PEI-07 Older Adult Prevention and Early Intervension</t>
  </si>
  <si>
    <t>PEI-12 Community Training and Support</t>
  </si>
  <si>
    <t>PEI-18 School Age Prevention &amp; Early Interv. Programs</t>
  </si>
  <si>
    <t>PEI-19 Veterans Community Connection</t>
  </si>
  <si>
    <t>PEI-20 Statewide PEI</t>
  </si>
  <si>
    <t>PEI-23 Newcomers Supports</t>
  </si>
  <si>
    <t>PEI-24 Storytelling Programs</t>
  </si>
  <si>
    <t>Expenditure</t>
  </si>
  <si>
    <t>FY 22-23</t>
  </si>
  <si>
    <t>Adj #1_This adjustment moves costs out from CSS HOPE FSP 04- 10222238 to MH Med Clinic -Jr 2024-07/3457</t>
  </si>
  <si>
    <t>Adj #2_CSS Accruals pd to Side by Side -CSS FSP 02- 10225238-Jr 2024/11-1123</t>
  </si>
  <si>
    <t>Adj #3_CSS Accruals pd to Felton Institute-CSS SDOE-10,  10292238-Jr 2024/ 11-1123</t>
  </si>
  <si>
    <t>Adj #4 _Costs charged to CSS HOPE_FSP 04 10222238 by error moved to CSS Odyssey_FSP 05 10223238- Jr 2023/09-2020</t>
  </si>
  <si>
    <t>Adj #6 MAA revenues adjust_CSS   HOPE - FSP 04- 10222238 revenue was 89,939.73 revised to 44,740.44</t>
  </si>
  <si>
    <t>Adj #6 MAA revenues adjust_CSS   Odyssey - FSP 05- 10223238 revenue was 73,850.31 revised to 55,267.09 -costs increased by 18,583.22</t>
  </si>
  <si>
    <t>Adj #6 MAA revenues adjust_CSS   Impact - FSP 06- 10290238 revenue was 59,828.42 revised to 72,572.81-costs decreased 12,744.39</t>
  </si>
  <si>
    <t>Adj #6 MAA revenues adjust_CSS   SDOE-01  10226238 revenue was 25,045.28 revised to 0</t>
  </si>
  <si>
    <t>Adj #6 MAA revenues adjust_CSS   Recovery Oriented Syst. Of care - SDOE 13- 10231C238 revenue was 78,987.91 revised to 45,050.85</t>
  </si>
  <si>
    <t>Adj #6 MAA revenues adjust_CSS   Stepping Up - SDOE 14- 10231D238 revenue was 52,177.37 revised to 11,462.02</t>
  </si>
  <si>
    <t>Adj #6 MAA revenues adjust_CSS   Community Outreach and Engagement - SDOE 15- 10231E238 revenue was 53,425.23 revised to 98,328.32</t>
  </si>
  <si>
    <t>Adj #6 MAA revenues adjust_CSS   Coordinator and Ethnic Srvc Mg - 10244B238 and 10231238 revenue was 43,460.43 revised to27,998.49</t>
  </si>
  <si>
    <t>Adj #6 MAA revenues adjust_CSS   Admin and Indirect -  10231B238  revenue was 26,645.62 revised to 31,104.85</t>
  </si>
  <si>
    <t>Adj #6 MAA revenues adjust_CSS   Community Planning  -  10299238 revenue was 24,472.17 revised to 18,690.79</t>
  </si>
  <si>
    <t>Adj #6 MAA revenues adjust_PEI-  10299238 revenue was 24,472.17 revised to 18,690.80</t>
  </si>
  <si>
    <t>Adj #6 MAA revenues adjust_WET-  10299238 revenue was 24,472.17 revised to 18,690.81</t>
  </si>
  <si>
    <t>FY22-23</t>
  </si>
  <si>
    <t>Adj #7_WET Accruals pd to Wayfinder Family Srvcs-  10255238-Jr 2024/ 02-2074</t>
  </si>
  <si>
    <t>Adj #8- pmnt of $46,112 to CalMHSA - INN program was for 18-19 charge to 22-23 -needs to be moved to corret FY</t>
  </si>
  <si>
    <t>FY18-19</t>
  </si>
  <si>
    <t>Adj #8- pmnt of $46,112 to CalMHSA - INN program was for 18-19 charge to 22-23 -needs to be moved to corret FY- 10298238</t>
  </si>
  <si>
    <t>Adj #9-Remove from 22/23 add back to 23/34- $500 paid on CalCard (BHRS Video Vendor) : IN*California Budget Pro_ invoice does not have back up_EFF date 11/30/23 belongs to 23/24 PEI program 10242238</t>
  </si>
  <si>
    <t>Adj #10_CSS Accruals pd to Buckelew programs-CSS STAR,  10224238-Jr 2024/04-1704</t>
  </si>
  <si>
    <t>Adj #11_CSS Accruals pd to Buckelew programs-CSS Odyssey,  10223238-Jr 2024/ 04-1704</t>
  </si>
  <si>
    <t>FY 21-22</t>
  </si>
  <si>
    <t>Adj #13-Journal 2024/08-535 made in 23/24 for 21/22 needs to move costs for Sean Holcombe from CSS 23821141  to WET 23821144 program</t>
  </si>
  <si>
    <t>Adj#13- Journal 2024/08-538 made in 23/24 for 21/22 needs to move costs for refund from CPI from CSS 23821141 to WET 23821144 program</t>
  </si>
  <si>
    <t>Adj#13- Journal 2024/08-538 made in 23/24 for 21/22 needs to move costs for refund from CPI from CSS to WET program</t>
  </si>
  <si>
    <t>FY 20-21</t>
  </si>
  <si>
    <t>Adj #14 Accrual payment to Petaluma Health Center for PEI porgram June 2021- 10240238</t>
  </si>
  <si>
    <t>Adj # 15 Accrual payment to Petaluma Health Center for PEI porgram June 2022 - 10240238</t>
  </si>
  <si>
    <t>Adj#16 pmnt belong to 23-24 charged as accruals to 22-23 YES-needs to be reversed</t>
  </si>
  <si>
    <t>Adj#17 pmnt to Staples adjustment to costs for HOPE program charged to 23/24 move out charge to 22/23</t>
  </si>
  <si>
    <t>Adj#18 pmnt to Staples adjustment to costs for Odyssey program</t>
  </si>
  <si>
    <t>Adj#19 pmnt to Staples adjustment to costs for YES program</t>
  </si>
  <si>
    <t>Adj# 20 pmnt reversed for SDOE-14 10231D238</t>
  </si>
  <si>
    <t>Adj# 21 pmnt charge to SDOE-14 10231D239</t>
  </si>
  <si>
    <t>Adj# 22 pay to PHC for YES 10231238 of $ 21,625 is split to 22-23 &amp; 23-24. $3,600 of the payment belongs to 22-23</t>
  </si>
  <si>
    <t>Adj# 23 pay to PHC for YES 10231238 of $ 8,497.50 is split to 22-23 &amp; 23-24. $1,545 of the payment belongs to 22-23</t>
  </si>
  <si>
    <t>Adj # 24 pay to Seneca for PEI program - project code 10240238</t>
  </si>
  <si>
    <t>Adj # 25 pay to YASHAR, ISAAC for Odyssey project code 10223238</t>
  </si>
  <si>
    <t>Adj # 26 pay to YASHAR, ISAAC for IMPACT project code 10290238</t>
  </si>
  <si>
    <t>Adj # 27 Accrual pmnt to MultiCultural Ctr of Marin for PEI project code 10235238</t>
  </si>
  <si>
    <t>Adj # 28 pmnt to Staples adjustment to costs for CSS project code 10231D238</t>
  </si>
  <si>
    <t>On FY 22-23 RER Marin INN reported based on unaudited expenditures incurred by JPA $16,272 however, audited report showed the amount of $84,597.00. The amount needs to be increased by $68,325</t>
  </si>
  <si>
    <t>FSP 06 - Integrated Multi-Service Partnership Assertive Community Treatment (IMPACT)</t>
  </si>
  <si>
    <t>On FY 22-23 RER Marin PEI reported based on unaudited expenditures incurred by JPA $48,903 however, audited report showed the amount of $49,470. the amount needs to be increaswd by $567</t>
  </si>
  <si>
    <t>Adjustment to Admin Ind Cost Allocation_from CSSto other programs</t>
  </si>
  <si>
    <t>Adjustment to Admin Ind Cost Allocation_from CSS to PEI</t>
  </si>
  <si>
    <t>Adjustment to Admin Ind Cost Allocation_from CSS to INN</t>
  </si>
  <si>
    <t>Adjustment to Admin Ind Cost Allocation_from CSS to WET</t>
  </si>
  <si>
    <t>BH Subaccount - 2011 Realingment (Adj # 29 Adj to EPSDT revenues)</t>
  </si>
  <si>
    <t xml:space="preserve">PEI-21 Suicide Prevention </t>
  </si>
  <si>
    <t>Technology Suite Collaborative Innovation Plan</t>
  </si>
  <si>
    <t>Cal MHSA refund of $120,788 for prior years reported as negative on tab PEI section 1 row 5. $80,985.60 transfer to JPA in 21/22 &amp; $39,802.40 balance in 20/21.</t>
  </si>
  <si>
    <t xml:space="preserve"> </t>
  </si>
  <si>
    <t>fmorb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</si>
</sst>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_(&quot;$&quot;* \(#,##0.00\);_(&quot;$&quot;* &quot;-&quot;??_);_(@_)"/>
    <numFmt numFmtId="164" formatCode="&quot;$&quot;#,##0.00"/>
    <numFmt numFmtId="165" formatCode="00"/>
    <numFmt numFmtId="166" formatCode="0#"/>
    <numFmt numFmtId="167" formatCode="[&lt;=9999999]###\-####;\(###\)\ ###\-####"/>
    <numFmt numFmtId="168" formatCode="00000"/>
    <numFmt numFmtId="169" formatCode="0.0%"/>
    <numFmt numFmtId="170" formatCode="#,##0.0"/>
    <numFmt numFmtId="171" formatCode="0.0"/>
  </numFmts>
  <fonts count="48" x14ac:knownFonts="1">
    <font>
      <sz val="11"/>
      <color theme="1"/>
      <name val="Calibri"/>
      <family val="2"/>
      <scheme val="minor"/>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1"/>
      <color theme="1"/>
      <name val="Calibri"/>
      <family val="2"/>
      <scheme val="minor"/>
    </font>
    <font>
      <b/>
      <sz val="12"/>
      <name val="Arial"/>
      <family val="2"/>
    </font>
    <font>
      <sz val="10"/>
      <name val="Arial"/>
      <family val="2"/>
    </font>
    <font>
      <sz val="11"/>
      <color theme="1"/>
      <name val="Arial"/>
      <family val="2"/>
    </font>
    <font>
      <sz val="10"/>
      <color theme="1"/>
      <name val="Arial"/>
      <family val="2"/>
    </font>
    <font>
      <u/>
      <sz val="10"/>
      <color theme="10"/>
      <name val="Arial"/>
      <family val="2"/>
    </font>
    <font>
      <b/>
      <sz val="14"/>
      <name val="Arial"/>
      <family val="2"/>
    </font>
    <font>
      <b/>
      <sz val="14"/>
      <color theme="1"/>
      <name val="Arial"/>
      <family val="2"/>
    </font>
    <font>
      <b/>
      <sz val="12"/>
      <color theme="1"/>
      <name val="Arial"/>
      <family val="2"/>
    </font>
    <font>
      <u/>
      <sz val="12"/>
      <color theme="10"/>
      <name val="Arial"/>
      <family val="2"/>
    </font>
    <font>
      <sz val="12"/>
      <name val="Arial"/>
      <family val="2"/>
    </font>
    <font>
      <sz val="12"/>
      <color rgb="FFFF0000"/>
      <name val="Arial"/>
      <family val="2"/>
    </font>
    <font>
      <b/>
      <u/>
      <sz val="12"/>
      <name val="Arial"/>
      <family val="2"/>
    </font>
    <font>
      <b/>
      <u/>
      <sz val="12"/>
      <color theme="1"/>
      <name val="Arial"/>
      <family val="2"/>
    </font>
    <font>
      <b/>
      <sz val="12"/>
      <color indexed="10"/>
      <name val="Arial"/>
      <family val="2"/>
    </font>
    <font>
      <sz val="12"/>
      <color indexed="8"/>
      <name val="Arial"/>
      <family val="2"/>
    </font>
    <font>
      <b/>
      <sz val="12"/>
      <color indexed="8"/>
      <name val="Arial"/>
      <family val="2"/>
    </font>
    <font>
      <b/>
      <sz val="12"/>
      <color rgb="FF000000"/>
      <name val="Arial"/>
      <family val="2"/>
    </font>
    <font>
      <sz val="12"/>
      <color rgb="FF000000"/>
      <name val="Arial"/>
      <family val="2"/>
    </font>
    <font>
      <sz val="11"/>
      <color theme="0"/>
      <name val="Calibri"/>
      <family val="2"/>
      <scheme val="minor"/>
    </font>
    <font>
      <sz val="12"/>
      <color theme="0"/>
      <name val="Arial"/>
      <family val="2"/>
    </font>
    <font>
      <sz val="11"/>
      <color rgb="FFFF0000"/>
      <name val="Calibri"/>
      <family val="2"/>
      <scheme val="minor"/>
    </font>
    <font>
      <i/>
      <sz val="12"/>
      <color theme="1"/>
      <name val="Arial"/>
      <family val="2"/>
    </font>
    <font>
      <sz val="11"/>
      <color rgb="FF3F3F76"/>
      <name val="Calibri"/>
      <family val="2"/>
      <scheme val="minor"/>
    </font>
    <font>
      <sz val="12"/>
      <color rgb="FF3F3F76"/>
      <name val="Arial"/>
      <family val="2"/>
    </font>
    <font>
      <b/>
      <sz val="9"/>
      <color indexed="81"/>
      <name val="Tahoma"/>
      <family val="2"/>
    </font>
    <font>
      <sz val="12"/>
      <color rgb="FF0563C1"/>
      <name val="Arial"/>
      <family val="2"/>
    </font>
    <font>
      <sz val="2"/>
      <color theme="0"/>
      <name val="Arial"/>
      <family val="2"/>
    </font>
    <font>
      <sz val="2"/>
      <color theme="0"/>
      <name val="Calibri"/>
      <family val="2"/>
      <scheme val="minor"/>
    </font>
  </fonts>
  <fills count="8">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
      <patternFill patternType="solid">
        <fgColor theme="0" tint="-4.9989318521683403E-2"/>
        <bgColor indexed="64"/>
      </patternFill>
    </fill>
    <fill>
      <patternFill patternType="solid">
        <fgColor rgb="FFFFCC99"/>
      </patternFill>
    </fill>
    <fill>
      <patternFill patternType="solid">
        <fgColor theme="4" tint="0.79998168889431442"/>
        <bgColor indexed="64"/>
      </patternFill>
    </fill>
    <fill>
      <patternFill patternType="solid">
        <fgColor rgb="FFDEEBF7"/>
        <bgColor indexed="64"/>
      </patternFill>
    </fill>
  </fills>
  <borders count="29">
    <border>
      <left/>
      <right/>
      <top/>
      <bottom/>
      <diagonal/>
    </border>
    <border>
      <left style="medium">
        <color indexed="64"/>
      </left>
      <right/>
      <top/>
      <bottom/>
      <diagonal/>
    </border>
    <border>
      <left style="thin">
        <color indexed="64"/>
      </left>
      <right style="thin">
        <color indexed="64"/>
      </right>
      <top/>
      <bottom/>
      <diagonal/>
    </border>
    <border>
      <left style="thin">
        <color auto="1"/>
      </left>
      <right style="thin">
        <color auto="1"/>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top/>
      <bottom style="medium">
        <color indexed="64"/>
      </bottom>
      <diagonal/>
    </border>
    <border>
      <left/>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diagonal/>
    </border>
    <border>
      <left/>
      <right style="thin">
        <color auto="1"/>
      </right>
      <top/>
      <bottom style="thin">
        <color indexed="64"/>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bottom style="thick">
        <color auto="1"/>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bottom/>
      <diagonal/>
    </border>
    <border>
      <left/>
      <right/>
      <top style="thin">
        <color indexed="64"/>
      </top>
      <bottom/>
      <diagonal/>
    </border>
    <border>
      <left style="thin">
        <color rgb="FF7F7F7F"/>
      </left>
      <right style="thin">
        <color rgb="FF7F7F7F"/>
      </right>
      <top style="thin">
        <color rgb="FF7F7F7F"/>
      </top>
      <bottom style="thin">
        <color rgb="FF7F7F7F"/>
      </bottom>
      <diagonal/>
    </border>
    <border>
      <left/>
      <right/>
      <top style="thin">
        <color rgb="FF0000FF"/>
      </top>
      <bottom/>
      <diagonal/>
    </border>
  </borders>
  <cellStyleXfs count="11">
    <xf numFmtId="0" fontId="0" fillId="0" borderId="0"/>
    <xf numFmtId="9" fontId="19" fillId="0" borderId="0" applyFont="0" applyFill="0" applyBorder="0" applyAlignment="0" applyProtection="0"/>
    <xf numFmtId="0" fontId="21" fillId="0" borderId="0"/>
    <xf numFmtId="0" fontId="23" fillId="0" borderId="0"/>
    <xf numFmtId="0" fontId="24" fillId="0" borderId="0" applyNumberFormat="0" applyFill="0" applyBorder="0" applyAlignment="0" applyProtection="0"/>
    <xf numFmtId="0" fontId="22" fillId="0" borderId="0"/>
    <xf numFmtId="0" fontId="19" fillId="0" borderId="0"/>
    <xf numFmtId="44" fontId="19" fillId="0" borderId="0" applyFont="0" applyFill="0" applyBorder="0" applyAlignment="0" applyProtection="0"/>
    <xf numFmtId="0" fontId="42" fillId="5" borderId="27" applyNumberFormat="0" applyAlignment="0" applyProtection="0"/>
    <xf numFmtId="0" fontId="19" fillId="0" borderId="0"/>
    <xf numFmtId="0" fontId="19" fillId="0" borderId="0"/>
  </cellStyleXfs>
  <cellXfs count="485">
    <xf numFmtId="0" fontId="0" fillId="0" borderId="0" xfId="0"/>
    <xf numFmtId="0" fontId="20" fillId="0" borderId="0" xfId="0" applyFont="1" applyBorder="1" applyAlignment="1" applyProtection="1">
      <alignment vertical="center"/>
    </xf>
    <xf numFmtId="0" fontId="20" fillId="0" borderId="0" xfId="0" applyFont="1" applyFill="1" applyBorder="1" applyAlignment="1" applyProtection="1">
      <alignment horizontal="left"/>
    </xf>
    <xf numFmtId="0" fontId="20" fillId="0" borderId="0" xfId="0" applyFont="1" applyFill="1" applyBorder="1" applyAlignment="1" applyProtection="1">
      <alignment horizontal="center"/>
    </xf>
    <xf numFmtId="0" fontId="29" fillId="0" borderId="0" xfId="0" applyFont="1" applyFill="1" applyBorder="1" applyAlignment="1" applyProtection="1">
      <alignment horizontal="left"/>
    </xf>
    <xf numFmtId="0" fontId="20" fillId="0" borderId="0" xfId="0" applyFont="1" applyFill="1" applyBorder="1" applyAlignment="1" applyProtection="1">
      <alignment vertical="center"/>
    </xf>
    <xf numFmtId="0" fontId="27" fillId="0" borderId="0" xfId="0" applyFont="1"/>
    <xf numFmtId="0" fontId="27" fillId="0" borderId="0" xfId="0" applyFont="1" applyBorder="1" applyProtection="1"/>
    <xf numFmtId="0" fontId="28" fillId="0" borderId="0" xfId="4" applyFont="1" applyBorder="1" applyAlignment="1" applyProtection="1"/>
    <xf numFmtId="0" fontId="20" fillId="0" borderId="0" xfId="0" applyFont="1" applyBorder="1" applyAlignment="1" applyProtection="1">
      <alignment horizontal="left" vertical="center"/>
    </xf>
    <xf numFmtId="0" fontId="20" fillId="0" borderId="0" xfId="0" applyFont="1" applyBorder="1" applyAlignment="1" applyProtection="1">
      <alignment horizontal="center" vertical="center"/>
    </xf>
    <xf numFmtId="164" fontId="20" fillId="0" borderId="0" xfId="0" applyNumberFormat="1" applyFont="1" applyFill="1" applyBorder="1" applyAlignment="1" applyProtection="1"/>
    <xf numFmtId="14" fontId="29" fillId="0" borderId="0" xfId="0" applyNumberFormat="1" applyFont="1" applyFill="1" applyBorder="1" applyAlignment="1" applyProtection="1">
      <alignment horizontal="left"/>
    </xf>
    <xf numFmtId="0" fontId="27" fillId="0" borderId="0" xfId="0" applyFont="1" applyBorder="1" applyAlignment="1" applyProtection="1">
      <alignment horizontal="center"/>
    </xf>
    <xf numFmtId="0" fontId="20" fillId="0" borderId="0" xfId="0" applyFont="1" applyFill="1" applyBorder="1" applyAlignment="1" applyProtection="1">
      <alignment horizontal="left" vertical="center"/>
    </xf>
    <xf numFmtId="14" fontId="29" fillId="0" borderId="0" xfId="0" applyNumberFormat="1" applyFont="1" applyFill="1" applyBorder="1" applyAlignment="1" applyProtection="1">
      <alignment horizontal="center"/>
    </xf>
    <xf numFmtId="0" fontId="20" fillId="0" borderId="0" xfId="0" applyFont="1" applyFill="1" applyBorder="1" applyAlignment="1" applyProtection="1">
      <alignment horizontal="center" vertical="center"/>
    </xf>
    <xf numFmtId="0" fontId="18" fillId="0" borderId="0" xfId="0" applyFont="1" applyProtection="1"/>
    <xf numFmtId="0" fontId="18" fillId="0" borderId="0" xfId="0" applyFont="1"/>
    <xf numFmtId="0" fontId="18" fillId="0" borderId="0" xfId="0" applyFont="1" applyBorder="1" applyProtection="1"/>
    <xf numFmtId="0" fontId="18" fillId="0" borderId="0" xfId="0" applyFont="1" applyFill="1" applyBorder="1" applyProtection="1"/>
    <xf numFmtId="14" fontId="18" fillId="0" borderId="0" xfId="0" applyNumberFormat="1" applyFont="1" applyFill="1" applyBorder="1" applyAlignment="1" applyProtection="1">
      <alignment horizontal="center"/>
    </xf>
    <xf numFmtId="0" fontId="18" fillId="0" borderId="0" xfId="0" applyFont="1" applyBorder="1" applyAlignment="1" applyProtection="1">
      <alignment vertical="center"/>
    </xf>
    <xf numFmtId="0" fontId="18" fillId="0" borderId="0" xfId="0" applyFont="1" applyBorder="1" applyAlignment="1" applyProtection="1">
      <alignment horizontal="left"/>
    </xf>
    <xf numFmtId="0" fontId="18" fillId="0" borderId="0" xfId="0" applyNumberFormat="1" applyFont="1" applyBorder="1" applyProtection="1"/>
    <xf numFmtId="165" fontId="18" fillId="0" borderId="0" xfId="0" applyNumberFormat="1" applyFont="1" applyFill="1" applyBorder="1" applyProtection="1"/>
    <xf numFmtId="164" fontId="18" fillId="0" borderId="0" xfId="0" applyNumberFormat="1" applyFont="1" applyBorder="1" applyProtection="1"/>
    <xf numFmtId="0" fontId="18" fillId="0" borderId="0" xfId="0" applyFont="1" applyBorder="1" applyAlignment="1" applyProtection="1">
      <alignment horizontal="center" vertical="center"/>
    </xf>
    <xf numFmtId="0" fontId="27" fillId="4" borderId="15" xfId="0" applyFont="1" applyFill="1" applyBorder="1"/>
    <xf numFmtId="0" fontId="27" fillId="4" borderId="15" xfId="0" applyFont="1" applyFill="1" applyBorder="1" applyAlignment="1">
      <alignment wrapText="1"/>
    </xf>
    <xf numFmtId="0" fontId="27" fillId="4" borderId="12" xfId="0" applyFont="1" applyFill="1" applyBorder="1"/>
    <xf numFmtId="0" fontId="18" fillId="0" borderId="1" xfId="0" applyFont="1" applyBorder="1"/>
    <xf numFmtId="165" fontId="18" fillId="0" borderId="0" xfId="0" applyNumberFormat="1" applyFont="1" applyBorder="1"/>
    <xf numFmtId="0" fontId="18" fillId="0" borderId="0" xfId="0" applyFont="1" applyBorder="1"/>
    <xf numFmtId="0" fontId="18" fillId="0" borderId="8" xfId="0" applyFont="1" applyBorder="1"/>
    <xf numFmtId="0" fontId="18" fillId="0" borderId="9" xfId="0" applyFont="1" applyBorder="1"/>
    <xf numFmtId="165" fontId="18" fillId="0" borderId="14" xfId="0" applyNumberFormat="1" applyFont="1" applyBorder="1"/>
    <xf numFmtId="0" fontId="18" fillId="0" borderId="14" xfId="0" applyFont="1" applyBorder="1"/>
    <xf numFmtId="0" fontId="18" fillId="0" borderId="10" xfId="0" applyFont="1" applyBorder="1"/>
    <xf numFmtId="0" fontId="18" fillId="0" borderId="0" xfId="3" applyFont="1"/>
    <xf numFmtId="0" fontId="28" fillId="0" borderId="0" xfId="4" applyFont="1" applyAlignment="1">
      <alignment horizontal="right"/>
    </xf>
    <xf numFmtId="0" fontId="33" fillId="0" borderId="0" xfId="5" applyFont="1"/>
    <xf numFmtId="0" fontId="34" fillId="0" borderId="0" xfId="5" applyFont="1"/>
    <xf numFmtId="0" fontId="20" fillId="0" borderId="0" xfId="5" applyFont="1"/>
    <xf numFmtId="170" fontId="20" fillId="0" borderId="0" xfId="5" applyNumberFormat="1" applyFont="1" applyAlignment="1">
      <alignment horizontal="right"/>
    </xf>
    <xf numFmtId="0" fontId="20" fillId="0" borderId="6" xfId="5" applyFont="1" applyBorder="1" applyAlignment="1">
      <alignment horizontal="left"/>
    </xf>
    <xf numFmtId="170" fontId="20" fillId="0" borderId="13" xfId="5" applyNumberFormat="1" applyFont="1" applyBorder="1" applyAlignment="1">
      <alignment horizontal="right"/>
    </xf>
    <xf numFmtId="0" fontId="18" fillId="0" borderId="7" xfId="3" applyFont="1" applyBorder="1"/>
    <xf numFmtId="0" fontId="20" fillId="0" borderId="9" xfId="5" applyFont="1" applyBorder="1" applyAlignment="1">
      <alignment horizontal="left"/>
    </xf>
    <xf numFmtId="14" fontId="35" fillId="3" borderId="14" xfId="5" applyNumberFormat="1" applyFont="1" applyFill="1" applyBorder="1" applyAlignment="1">
      <alignment horizontal="right"/>
    </xf>
    <xf numFmtId="14" fontId="35" fillId="0" borderId="14" xfId="5" applyNumberFormat="1" applyFont="1" applyFill="1" applyBorder="1" applyAlignment="1">
      <alignment horizontal="right"/>
    </xf>
    <xf numFmtId="170" fontId="20" fillId="0" borderId="14" xfId="5" applyNumberFormat="1" applyFont="1" applyBorder="1" applyAlignment="1">
      <alignment horizontal="right"/>
    </xf>
    <xf numFmtId="170" fontId="20" fillId="3" borderId="10" xfId="5" applyNumberFormat="1" applyFont="1" applyFill="1" applyBorder="1" applyAlignment="1">
      <alignment horizontal="right"/>
    </xf>
    <xf numFmtId="0" fontId="20" fillId="0" borderId="1" xfId="5" applyFont="1" applyBorder="1" applyAlignment="1">
      <alignment horizontal="left"/>
    </xf>
    <xf numFmtId="14" fontId="35" fillId="0" borderId="0" xfId="5" applyNumberFormat="1" applyFont="1" applyBorder="1" applyAlignment="1">
      <alignment horizontal="center"/>
    </xf>
    <xf numFmtId="170" fontId="20" fillId="0" borderId="0" xfId="5" applyNumberFormat="1" applyFont="1" applyBorder="1" applyAlignment="1">
      <alignment horizontal="center"/>
    </xf>
    <xf numFmtId="0" fontId="18" fillId="0" borderId="8" xfId="3" applyFont="1" applyBorder="1" applyAlignment="1">
      <alignment horizontal="center"/>
    </xf>
    <xf numFmtId="0" fontId="36" fillId="0" borderId="1" xfId="3" applyFont="1" applyBorder="1" applyAlignment="1">
      <alignment vertical="center"/>
    </xf>
    <xf numFmtId="3" fontId="37" fillId="0" borderId="0" xfId="3" applyNumberFormat="1" applyFont="1" applyBorder="1" applyAlignment="1">
      <alignment horizontal="right" vertical="center"/>
    </xf>
    <xf numFmtId="171" fontId="37" fillId="0" borderId="0" xfId="3" applyNumberFormat="1" applyFont="1" applyBorder="1" applyAlignment="1">
      <alignment horizontal="right" vertical="center"/>
    </xf>
    <xf numFmtId="171" fontId="18" fillId="0" borderId="8" xfId="3" applyNumberFormat="1" applyFont="1" applyBorder="1" applyAlignment="1">
      <alignment horizontal="center"/>
    </xf>
    <xf numFmtId="0" fontId="18" fillId="0" borderId="1" xfId="3" applyFont="1" applyBorder="1" applyAlignment="1">
      <alignment vertical="center"/>
    </xf>
    <xf numFmtId="0" fontId="18" fillId="0" borderId="0" xfId="3" applyFont="1" applyBorder="1" applyAlignment="1">
      <alignment vertical="center"/>
    </xf>
    <xf numFmtId="171" fontId="18" fillId="0" borderId="0" xfId="3" applyNumberFormat="1" applyFont="1" applyBorder="1" applyAlignment="1">
      <alignment vertical="center"/>
    </xf>
    <xf numFmtId="0" fontId="37" fillId="0" borderId="1" xfId="3" applyFont="1" applyBorder="1" applyAlignment="1">
      <alignment vertical="center"/>
    </xf>
    <xf numFmtId="0" fontId="37" fillId="0" borderId="9" xfId="3" applyFont="1" applyBorder="1" applyAlignment="1">
      <alignment vertical="center"/>
    </xf>
    <xf numFmtId="3" fontId="37" fillId="0" borderId="14" xfId="3" applyNumberFormat="1" applyFont="1" applyBorder="1" applyAlignment="1">
      <alignment horizontal="right" vertical="center"/>
    </xf>
    <xf numFmtId="171" fontId="37" fillId="0" borderId="14" xfId="3" applyNumberFormat="1" applyFont="1" applyBorder="1" applyAlignment="1">
      <alignment horizontal="right" vertical="center"/>
    </xf>
    <xf numFmtId="0" fontId="30" fillId="0" borderId="6" xfId="3" applyFont="1" applyBorder="1"/>
    <xf numFmtId="3" fontId="30" fillId="0" borderId="13" xfId="3" applyNumberFormat="1" applyFont="1" applyBorder="1"/>
    <xf numFmtId="0" fontId="30" fillId="0" borderId="13" xfId="3" applyFont="1" applyBorder="1"/>
    <xf numFmtId="171" fontId="30" fillId="0" borderId="7" xfId="3" applyNumberFormat="1" applyFont="1" applyBorder="1" applyAlignment="1">
      <alignment horizontal="center"/>
    </xf>
    <xf numFmtId="0" fontId="30" fillId="0" borderId="1" xfId="3" applyFont="1" applyBorder="1"/>
    <xf numFmtId="3" fontId="30" fillId="0" borderId="0" xfId="3" applyNumberFormat="1" applyFont="1" applyBorder="1"/>
    <xf numFmtId="0" fontId="18" fillId="0" borderId="0" xfId="3" applyFont="1" applyBorder="1"/>
    <xf numFmtId="171" fontId="30" fillId="0" borderId="8" xfId="3" applyNumberFormat="1" applyFont="1" applyBorder="1" applyAlignment="1">
      <alignment horizontal="center"/>
    </xf>
    <xf numFmtId="0" fontId="30" fillId="0" borderId="9" xfId="0" applyFont="1" applyBorder="1"/>
    <xf numFmtId="3" fontId="30" fillId="0" borderId="14" xfId="3" applyNumberFormat="1" applyFont="1" applyBorder="1"/>
    <xf numFmtId="0" fontId="18" fillId="0" borderId="14" xfId="3" applyFont="1" applyBorder="1"/>
    <xf numFmtId="171" fontId="30" fillId="0" borderId="10" xfId="3" applyNumberFormat="1" applyFont="1" applyBorder="1" applyAlignment="1">
      <alignment horizontal="center"/>
    </xf>
    <xf numFmtId="3" fontId="18" fillId="0" borderId="0" xfId="3" applyNumberFormat="1" applyFont="1" applyBorder="1"/>
    <xf numFmtId="171" fontId="18" fillId="0" borderId="0" xfId="3" applyNumberFormat="1" applyFont="1" applyBorder="1" applyAlignment="1">
      <alignment horizontal="center"/>
    </xf>
    <xf numFmtId="3" fontId="30" fillId="0" borderId="0" xfId="0" applyNumberFormat="1" applyFont="1" applyAlignment="1">
      <alignment horizontal="right" vertical="center"/>
    </xf>
    <xf numFmtId="0" fontId="27" fillId="0" borderId="0" xfId="5" applyFont="1"/>
    <xf numFmtId="0" fontId="27" fillId="0" borderId="0" xfId="3" applyFont="1"/>
    <xf numFmtId="0" fontId="20" fillId="0" borderId="0" xfId="6" applyFont="1" applyBorder="1" applyAlignment="1"/>
    <xf numFmtId="0" fontId="17" fillId="0" borderId="0" xfId="3" applyFont="1"/>
    <xf numFmtId="0" fontId="17" fillId="0" borderId="0" xfId="0" applyFont="1" applyBorder="1"/>
    <xf numFmtId="0" fontId="17" fillId="0" borderId="0" xfId="0" applyFont="1" applyBorder="1" applyProtection="1"/>
    <xf numFmtId="0" fontId="16" fillId="0" borderId="0" xfId="0" applyFont="1" applyBorder="1"/>
    <xf numFmtId="0" fontId="15" fillId="0" borderId="0" xfId="0" applyFont="1"/>
    <xf numFmtId="0" fontId="25" fillId="0" borderId="0" xfId="0" applyFont="1" applyFill="1" applyBorder="1" applyAlignment="1" applyProtection="1">
      <alignment horizontal="left" vertical="center"/>
    </xf>
    <xf numFmtId="0" fontId="17" fillId="0" borderId="0" xfId="0" applyFont="1" applyProtection="1"/>
    <xf numFmtId="0" fontId="14" fillId="0" borderId="0" xfId="0" applyFont="1" applyProtection="1"/>
    <xf numFmtId="0" fontId="15" fillId="0" borderId="0" xfId="0" applyFont="1" applyProtection="1"/>
    <xf numFmtId="0" fontId="12" fillId="0" borderId="0" xfId="0" applyFont="1" applyBorder="1"/>
    <xf numFmtId="0" fontId="29" fillId="0" borderId="0" xfId="0" applyFont="1" applyFill="1" applyProtection="1"/>
    <xf numFmtId="0" fontId="29" fillId="0" borderId="0" xfId="0" applyFont="1" applyFill="1" applyBorder="1" applyProtection="1"/>
    <xf numFmtId="0" fontId="29" fillId="0" borderId="0" xfId="0" applyFont="1" applyFill="1" applyAlignment="1" applyProtection="1">
      <alignment vertical="center"/>
    </xf>
    <xf numFmtId="0" fontId="12" fillId="0" borderId="0" xfId="0" applyFont="1" applyProtection="1"/>
    <xf numFmtId="0" fontId="12" fillId="0" borderId="0" xfId="0" applyFont="1" applyBorder="1" applyProtection="1"/>
    <xf numFmtId="0" fontId="12" fillId="0" borderId="0" xfId="0" applyFont="1"/>
    <xf numFmtId="0" fontId="27" fillId="4" borderId="15" xfId="0" applyFont="1" applyFill="1" applyBorder="1" applyAlignment="1">
      <alignment horizontal="center" wrapText="1"/>
    </xf>
    <xf numFmtId="0" fontId="12" fillId="0" borderId="0" xfId="0" applyFont="1" applyBorder="1" applyAlignment="1">
      <alignment horizontal="right"/>
    </xf>
    <xf numFmtId="171" fontId="18" fillId="0" borderId="10" xfId="3" applyNumberFormat="1" applyFont="1" applyBorder="1" applyAlignment="1">
      <alignment horizontal="center"/>
    </xf>
    <xf numFmtId="0" fontId="30" fillId="0" borderId="0" xfId="0" applyFont="1" applyFill="1" applyAlignment="1">
      <alignment horizontal="left" vertical="center" indent="2"/>
    </xf>
    <xf numFmtId="3" fontId="30" fillId="0" borderId="0" xfId="0" applyNumberFormat="1" applyFont="1" applyFill="1" applyAlignment="1">
      <alignment horizontal="right" vertical="center"/>
    </xf>
    <xf numFmtId="9" fontId="29" fillId="0" borderId="0" xfId="1" applyFont="1" applyFill="1" applyBorder="1" applyAlignment="1" applyProtection="1">
      <alignment horizontal="center" wrapText="1"/>
    </xf>
    <xf numFmtId="164" fontId="39" fillId="0" borderId="0" xfId="0" applyNumberFormat="1" applyFont="1" applyFill="1" applyBorder="1" applyAlignment="1" applyProtection="1">
      <alignment horizontal="center"/>
    </xf>
    <xf numFmtId="0" fontId="29" fillId="0" borderId="0" xfId="0" applyFont="1" applyFill="1" applyBorder="1" applyAlignment="1" applyProtection="1">
      <alignment horizontal="center"/>
    </xf>
    <xf numFmtId="0" fontId="29" fillId="0" borderId="0" xfId="0" applyFont="1" applyFill="1" applyAlignment="1" applyProtection="1">
      <alignment horizontal="center"/>
    </xf>
    <xf numFmtId="9" fontId="12" fillId="0" borderId="0" xfId="0" applyNumberFormat="1" applyFont="1" applyAlignment="1">
      <alignment horizontal="center"/>
    </xf>
    <xf numFmtId="0" fontId="27" fillId="0" borderId="0" xfId="0" applyFont="1" applyAlignment="1">
      <alignment horizontal="center"/>
    </xf>
    <xf numFmtId="44" fontId="12" fillId="0" borderId="0" xfId="7" applyFont="1"/>
    <xf numFmtId="9" fontId="27" fillId="0" borderId="0" xfId="0" applyNumberFormat="1" applyFont="1" applyAlignment="1">
      <alignment horizontal="center"/>
    </xf>
    <xf numFmtId="0" fontId="27" fillId="3" borderId="0" xfId="0" applyFont="1" applyFill="1"/>
    <xf numFmtId="0" fontId="12" fillId="0" borderId="0" xfId="0" applyFont="1" applyAlignment="1">
      <alignment horizontal="center"/>
    </xf>
    <xf numFmtId="0" fontId="12" fillId="0" borderId="0" xfId="0" quotePrefix="1" applyFont="1"/>
    <xf numFmtId="0" fontId="20" fillId="0" borderId="4" xfId="0" applyFont="1" applyFill="1" applyBorder="1" applyAlignment="1" applyProtection="1"/>
    <xf numFmtId="0" fontId="12" fillId="0" borderId="0" xfId="0" applyFont="1" applyAlignment="1">
      <alignment wrapText="1"/>
    </xf>
    <xf numFmtId="0" fontId="0" fillId="0" borderId="0" xfId="0" applyAlignment="1">
      <alignment wrapText="1"/>
    </xf>
    <xf numFmtId="0" fontId="18" fillId="0" borderId="0" xfId="0" applyFont="1" applyBorder="1" applyAlignment="1" applyProtection="1">
      <alignment horizontal="right"/>
    </xf>
    <xf numFmtId="0" fontId="18" fillId="0" borderId="0" xfId="0" applyFont="1" applyAlignment="1" applyProtection="1">
      <alignment horizontal="right"/>
    </xf>
    <xf numFmtId="0" fontId="0" fillId="0" borderId="0" xfId="0" applyAlignment="1" applyProtection="1">
      <alignment wrapText="1"/>
    </xf>
    <xf numFmtId="0" fontId="0" fillId="0" borderId="0" xfId="0" applyProtection="1"/>
    <xf numFmtId="0" fontId="40" fillId="0" borderId="0" xfId="0" applyFont="1" applyProtection="1"/>
    <xf numFmtId="0" fontId="30" fillId="0" borderId="0" xfId="0" applyFont="1" applyProtection="1"/>
    <xf numFmtId="0" fontId="18" fillId="0" borderId="14" xfId="0" applyFont="1" applyBorder="1" applyProtection="1"/>
    <xf numFmtId="0" fontId="18" fillId="0" borderId="14" xfId="0" applyFont="1" applyBorder="1" applyAlignment="1" applyProtection="1">
      <alignment horizontal="right"/>
    </xf>
    <xf numFmtId="0" fontId="20" fillId="2" borderId="20" xfId="0" applyFont="1" applyFill="1" applyBorder="1" applyAlignment="1" applyProtection="1"/>
    <xf numFmtId="0" fontId="29" fillId="2" borderId="26" xfId="0" applyFont="1" applyFill="1" applyBorder="1" applyAlignment="1" applyProtection="1">
      <alignment horizontal="right"/>
    </xf>
    <xf numFmtId="0" fontId="12" fillId="0" borderId="4" xfId="0" applyFont="1" applyFill="1" applyBorder="1" applyAlignment="1" applyProtection="1">
      <alignment horizontal="center"/>
    </xf>
    <xf numFmtId="0" fontId="20" fillId="2" borderId="5" xfId="0" applyFont="1" applyFill="1" applyBorder="1" applyAlignment="1" applyProtection="1"/>
    <xf numFmtId="0" fontId="20" fillId="0" borderId="20" xfId="0" applyFont="1" applyFill="1" applyBorder="1" applyAlignment="1" applyProtection="1">
      <alignment horizontal="left"/>
    </xf>
    <xf numFmtId="0" fontId="20" fillId="0" borderId="22" xfId="0" applyFont="1" applyFill="1" applyBorder="1" applyAlignment="1" applyProtection="1">
      <alignment horizontal="center"/>
    </xf>
    <xf numFmtId="0" fontId="20" fillId="0" borderId="22" xfId="0" applyFont="1" applyFill="1" applyBorder="1" applyAlignment="1" applyProtection="1">
      <alignment horizontal="left"/>
    </xf>
    <xf numFmtId="0" fontId="20" fillId="0" borderId="16" xfId="0" applyFont="1" applyFill="1" applyBorder="1" applyAlignment="1" applyProtection="1">
      <alignment horizontal="left"/>
    </xf>
    <xf numFmtId="0" fontId="20" fillId="0" borderId="20" xfId="0" applyFont="1" applyFill="1" applyBorder="1" applyAlignment="1" applyProtection="1"/>
    <xf numFmtId="0" fontId="20" fillId="0" borderId="16" xfId="0" applyFont="1" applyFill="1" applyBorder="1" applyAlignment="1" applyProtection="1"/>
    <xf numFmtId="0" fontId="20" fillId="0" borderId="5" xfId="0" applyFont="1" applyFill="1" applyBorder="1" applyAlignment="1" applyProtection="1"/>
    <xf numFmtId="0" fontId="27" fillId="0" borderId="22" xfId="0" applyFont="1" applyBorder="1" applyProtection="1"/>
    <xf numFmtId="0" fontId="18" fillId="0" borderId="22" xfId="0" applyFont="1" applyBorder="1" applyProtection="1"/>
    <xf numFmtId="0" fontId="29" fillId="0" borderId="22" xfId="0" applyFont="1" applyFill="1" applyBorder="1" applyAlignment="1" applyProtection="1">
      <alignment horizontal="left"/>
    </xf>
    <xf numFmtId="14" fontId="18" fillId="0" borderId="22" xfId="0" applyNumberFormat="1" applyFont="1" applyFill="1" applyBorder="1" applyAlignment="1" applyProtection="1">
      <alignment horizontal="center"/>
    </xf>
    <xf numFmtId="0" fontId="18" fillId="0" borderId="22" xfId="0" applyFont="1" applyFill="1" applyBorder="1" applyProtection="1"/>
    <xf numFmtId="0" fontId="18" fillId="0" borderId="0" xfId="0" applyFont="1" applyBorder="1" applyAlignment="1" applyProtection="1"/>
    <xf numFmtId="0" fontId="18" fillId="0" borderId="4" xfId="0" applyFont="1" applyFill="1" applyBorder="1" applyAlignment="1" applyProtection="1">
      <alignment horizontal="center"/>
    </xf>
    <xf numFmtId="0" fontId="20" fillId="2" borderId="4" xfId="0" applyFont="1" applyFill="1" applyBorder="1" applyAlignment="1" applyProtection="1"/>
    <xf numFmtId="0" fontId="20" fillId="2" borderId="16" xfId="0" applyFont="1" applyFill="1" applyBorder="1" applyAlignment="1" applyProtection="1"/>
    <xf numFmtId="164" fontId="20" fillId="0" borderId="22" xfId="0" applyNumberFormat="1" applyFont="1" applyFill="1" applyBorder="1" applyAlignment="1" applyProtection="1"/>
    <xf numFmtId="0" fontId="20" fillId="0" borderId="20" xfId="0" applyFont="1" applyFill="1" applyBorder="1" applyAlignment="1" applyProtection="1">
      <alignment horizontal="left" vertical="center" wrapText="1"/>
    </xf>
    <xf numFmtId="0" fontId="20" fillId="0" borderId="22" xfId="0" applyFont="1" applyFill="1" applyBorder="1" applyAlignment="1" applyProtection="1">
      <alignment horizontal="left" wrapText="1"/>
    </xf>
    <xf numFmtId="164" fontId="20" fillId="0" borderId="22" xfId="0" applyNumberFormat="1" applyFont="1" applyFill="1" applyBorder="1" applyAlignment="1" applyProtection="1">
      <alignment horizontal="center"/>
    </xf>
    <xf numFmtId="0" fontId="20" fillId="0" borderId="0" xfId="0" applyFont="1" applyFill="1" applyBorder="1" applyAlignment="1" applyProtection="1">
      <alignment horizontal="left" wrapText="1"/>
    </xf>
    <xf numFmtId="164" fontId="20" fillId="0" borderId="0" xfId="0" applyNumberFormat="1" applyFont="1" applyFill="1" applyBorder="1" applyAlignment="1" applyProtection="1">
      <alignment horizontal="center"/>
    </xf>
    <xf numFmtId="0" fontId="12" fillId="0" borderId="20" xfId="0" applyFont="1" applyFill="1" applyBorder="1" applyAlignment="1" applyProtection="1">
      <alignment horizontal="center"/>
    </xf>
    <xf numFmtId="0" fontId="18" fillId="0" borderId="4" xfId="0" applyFont="1" applyBorder="1" applyAlignment="1" applyProtection="1">
      <alignment horizontal="center"/>
    </xf>
    <xf numFmtId="0" fontId="27" fillId="0" borderId="4" xfId="0" applyFont="1" applyFill="1" applyBorder="1" applyAlignment="1" applyProtection="1">
      <alignment horizontal="center"/>
    </xf>
    <xf numFmtId="14" fontId="29" fillId="0" borderId="22" xfId="0" applyNumberFormat="1" applyFont="1" applyFill="1" applyBorder="1" applyAlignment="1" applyProtection="1">
      <alignment horizontal="left"/>
    </xf>
    <xf numFmtId="0" fontId="29" fillId="0" borderId="17" xfId="0" applyFont="1" applyFill="1" applyBorder="1" applyAlignment="1" applyProtection="1">
      <alignment horizontal="left"/>
    </xf>
    <xf numFmtId="0" fontId="20" fillId="0" borderId="0" xfId="0" applyFont="1" applyFill="1" applyBorder="1" applyAlignment="1" applyProtection="1"/>
    <xf numFmtId="0" fontId="18" fillId="0" borderId="4" xfId="0" applyFont="1" applyBorder="1" applyProtection="1"/>
    <xf numFmtId="0" fontId="20" fillId="0" borderId="5" xfId="0" applyFont="1" applyFill="1" applyBorder="1" applyAlignment="1" applyProtection="1">
      <alignment horizontal="left"/>
    </xf>
    <xf numFmtId="0" fontId="20" fillId="2" borderId="20" xfId="0" applyFont="1" applyFill="1" applyBorder="1" applyAlignment="1" applyProtection="1">
      <alignment horizontal="left"/>
    </xf>
    <xf numFmtId="0" fontId="20" fillId="2" borderId="16" xfId="0" applyFont="1" applyFill="1" applyBorder="1" applyAlignment="1" applyProtection="1">
      <alignment horizontal="left"/>
    </xf>
    <xf numFmtId="0" fontId="20" fillId="0" borderId="22" xfId="0" applyFont="1" applyFill="1" applyBorder="1" applyAlignment="1" applyProtection="1"/>
    <xf numFmtId="0" fontId="27" fillId="0" borderId="22" xfId="0" applyFont="1" applyBorder="1" applyAlignment="1" applyProtection="1">
      <alignment horizontal="center"/>
    </xf>
    <xf numFmtId="165" fontId="18" fillId="0" borderId="22" xfId="0" applyNumberFormat="1" applyFont="1" applyFill="1" applyBorder="1" applyProtection="1"/>
    <xf numFmtId="165" fontId="18" fillId="0" borderId="20" xfId="0" applyNumberFormat="1" applyFont="1" applyFill="1" applyBorder="1" applyAlignment="1" applyProtection="1">
      <alignment horizontal="center"/>
    </xf>
    <xf numFmtId="0" fontId="13" fillId="0" borderId="20" xfId="0" applyFont="1" applyBorder="1" applyAlignment="1" applyProtection="1">
      <alignment horizontal="center"/>
    </xf>
    <xf numFmtId="0" fontId="18" fillId="0" borderId="20" xfId="0" applyFont="1" applyBorder="1" applyAlignment="1" applyProtection="1">
      <alignment horizontal="center"/>
    </xf>
    <xf numFmtId="0" fontId="0" fillId="0" borderId="0" xfId="0" applyFont="1" applyAlignment="1" applyProtection="1">
      <alignment wrapText="1"/>
      <protection locked="0"/>
    </xf>
    <xf numFmtId="0" fontId="12" fillId="0" borderId="0" xfId="0" applyFont="1" applyAlignment="1" applyProtection="1">
      <alignment wrapText="1"/>
      <protection locked="0"/>
    </xf>
    <xf numFmtId="0" fontId="37" fillId="0" borderId="0" xfId="0" applyFont="1" applyAlignment="1" applyProtection="1">
      <alignment wrapText="1"/>
      <protection locked="0"/>
    </xf>
    <xf numFmtId="0" fontId="0" fillId="0" borderId="0" xfId="0" applyAlignment="1" applyProtection="1">
      <alignment wrapText="1"/>
      <protection locked="0"/>
    </xf>
    <xf numFmtId="0" fontId="0" fillId="3" borderId="0" xfId="0" applyFill="1" applyAlignment="1" applyProtection="1">
      <alignment wrapText="1"/>
    </xf>
    <xf numFmtId="14" fontId="18" fillId="7" borderId="4" xfId="0" applyNumberFormat="1" applyFont="1" applyFill="1" applyBorder="1" applyAlignment="1" applyProtection="1">
      <alignment horizontal="left" vertical="center"/>
      <protection locked="0"/>
    </xf>
    <xf numFmtId="0" fontId="12" fillId="7" borderId="4" xfId="0" applyFont="1" applyFill="1" applyBorder="1" applyAlignment="1" applyProtection="1">
      <alignment horizontal="left" vertical="center"/>
      <protection locked="0"/>
    </xf>
    <xf numFmtId="0" fontId="18" fillId="7" borderId="4" xfId="0" applyFont="1" applyFill="1" applyBorder="1" applyAlignment="1" applyProtection="1">
      <alignment horizontal="left" vertical="center" wrapText="1"/>
      <protection locked="0"/>
    </xf>
    <xf numFmtId="0" fontId="18" fillId="7" borderId="4" xfId="0" applyFont="1" applyFill="1" applyBorder="1" applyAlignment="1" applyProtection="1">
      <alignment horizontal="left" vertical="center"/>
      <protection locked="0"/>
    </xf>
    <xf numFmtId="168" fontId="12" fillId="7" borderId="4" xfId="0" applyNumberFormat="1" applyFont="1" applyFill="1" applyBorder="1" applyAlignment="1" applyProtection="1">
      <alignment horizontal="left" vertical="center"/>
      <protection locked="0"/>
    </xf>
    <xf numFmtId="0" fontId="18" fillId="7" borderId="4" xfId="0" applyFont="1" applyFill="1" applyBorder="1" applyAlignment="1" applyProtection="1">
      <alignment vertical="center"/>
      <protection locked="0"/>
    </xf>
    <xf numFmtId="167" fontId="13" fillId="7" borderId="4" xfId="0" applyNumberFormat="1" applyFont="1" applyFill="1" applyBorder="1" applyAlignment="1" applyProtection="1">
      <alignment horizontal="left" vertical="center"/>
      <protection locked="0"/>
    </xf>
    <xf numFmtId="164" fontId="43" fillId="6" borderId="4" xfId="8" applyNumberFormat="1" applyFont="1" applyFill="1" applyBorder="1" applyProtection="1">
      <protection locked="0"/>
    </xf>
    <xf numFmtId="164" fontId="29" fillId="0" borderId="0" xfId="8" applyNumberFormat="1" applyFont="1" applyFill="1" applyBorder="1" applyProtection="1"/>
    <xf numFmtId="164" fontId="12" fillId="7" borderId="4" xfId="0" applyNumberFormat="1" applyFont="1" applyFill="1" applyBorder="1" applyProtection="1">
      <protection locked="0"/>
    </xf>
    <xf numFmtId="0" fontId="12" fillId="7" borderId="4" xfId="0" applyFont="1" applyFill="1" applyBorder="1" applyAlignment="1" applyProtection="1">
      <alignment wrapText="1"/>
      <protection locked="0"/>
    </xf>
    <xf numFmtId="0" fontId="12" fillId="7" borderId="4" xfId="0" applyFont="1" applyFill="1" applyBorder="1" applyAlignment="1" applyProtection="1">
      <alignment horizontal="left"/>
      <protection locked="0"/>
    </xf>
    <xf numFmtId="0" fontId="12" fillId="7" borderId="4" xfId="0" applyFont="1" applyFill="1" applyBorder="1" applyProtection="1"/>
    <xf numFmtId="164" fontId="12" fillId="7" borderId="4" xfId="0" applyNumberFormat="1" applyFont="1" applyFill="1" applyBorder="1" applyProtection="1"/>
    <xf numFmtId="0" fontId="10" fillId="7" borderId="4" xfId="0" applyFont="1" applyFill="1" applyBorder="1" applyAlignment="1" applyProtection="1">
      <alignment wrapText="1"/>
      <protection locked="0"/>
    </xf>
    <xf numFmtId="0" fontId="12" fillId="7" borderId="4" xfId="0" applyFont="1" applyFill="1" applyBorder="1" applyProtection="1">
      <protection locked="0"/>
    </xf>
    <xf numFmtId="0" fontId="18" fillId="7" borderId="4" xfId="0" applyFont="1" applyFill="1" applyBorder="1" applyProtection="1">
      <protection locked="0"/>
    </xf>
    <xf numFmtId="9" fontId="18" fillId="7" borderId="4" xfId="1" applyFont="1" applyFill="1" applyBorder="1" applyProtection="1">
      <protection locked="0"/>
    </xf>
    <xf numFmtId="164" fontId="18" fillId="7" borderId="4" xfId="0" applyNumberFormat="1" applyFont="1" applyFill="1" applyBorder="1" applyProtection="1">
      <protection locked="0"/>
    </xf>
    <xf numFmtId="0" fontId="18" fillId="7" borderId="4" xfId="0" applyFont="1" applyFill="1" applyBorder="1" applyProtection="1"/>
    <xf numFmtId="0" fontId="12" fillId="0" borderId="0" xfId="0" applyFont="1" applyFill="1" applyAlignment="1" applyProtection="1">
      <alignment wrapText="1"/>
    </xf>
    <xf numFmtId="0" fontId="0" fillId="0" borderId="0" xfId="0" applyFill="1" applyAlignment="1" applyProtection="1">
      <alignment wrapText="1"/>
    </xf>
    <xf numFmtId="0" fontId="12" fillId="7" borderId="20" xfId="0" applyFont="1" applyFill="1" applyBorder="1" applyAlignment="1" applyProtection="1">
      <alignment horizontal="center" wrapText="1"/>
      <protection locked="0"/>
    </xf>
    <xf numFmtId="165" fontId="18" fillId="7" borderId="4" xfId="0" applyNumberFormat="1" applyFont="1" applyFill="1" applyBorder="1" applyAlignment="1" applyProtection="1">
      <alignment horizontal="center"/>
      <protection locked="0"/>
    </xf>
    <xf numFmtId="0" fontId="29" fillId="7" borderId="4" xfId="0" applyFont="1" applyFill="1" applyBorder="1" applyAlignment="1" applyProtection="1">
      <alignment horizontal="center"/>
      <protection locked="0"/>
    </xf>
    <xf numFmtId="164" fontId="29" fillId="7" borderId="4" xfId="0" applyNumberFormat="1" applyFont="1" applyFill="1" applyBorder="1" applyProtection="1">
      <protection locked="0"/>
    </xf>
    <xf numFmtId="0" fontId="12" fillId="7" borderId="4" xfId="0" applyFont="1" applyFill="1" applyBorder="1" applyAlignment="1" applyProtection="1">
      <alignment horizontal="center"/>
      <protection locked="0"/>
    </xf>
    <xf numFmtId="164" fontId="12" fillId="7" borderId="4" xfId="0" applyNumberFormat="1" applyFont="1" applyFill="1" applyBorder="1" applyAlignment="1" applyProtection="1">
      <alignment horizontal="center"/>
      <protection locked="0"/>
    </xf>
    <xf numFmtId="14" fontId="18" fillId="7" borderId="4" xfId="0" applyNumberFormat="1" applyFont="1" applyFill="1" applyBorder="1" applyProtection="1">
      <protection locked="0"/>
    </xf>
    <xf numFmtId="0" fontId="18" fillId="0" borderId="0" xfId="0" applyFont="1" applyProtection="1">
      <protection locked="0"/>
    </xf>
    <xf numFmtId="0" fontId="29" fillId="2" borderId="4" xfId="0" applyFont="1" applyFill="1" applyBorder="1" applyAlignment="1" applyProtection="1">
      <alignment horizontal="center"/>
      <protection locked="0"/>
    </xf>
    <xf numFmtId="164" fontId="12" fillId="0" borderId="16" xfId="0" applyNumberFormat="1" applyFont="1" applyFill="1" applyBorder="1" applyProtection="1">
      <protection locked="0"/>
    </xf>
    <xf numFmtId="0" fontId="18" fillId="0" borderId="28" xfId="0" applyFont="1" applyBorder="1" applyProtection="1"/>
    <xf numFmtId="0" fontId="12" fillId="0" borderId="20" xfId="0" applyNumberFormat="1" applyFont="1" applyFill="1" applyBorder="1" applyAlignment="1" applyProtection="1">
      <alignment horizontal="center"/>
    </xf>
    <xf numFmtId="14" fontId="18" fillId="2" borderId="4" xfId="0" applyNumberFormat="1" applyFont="1" applyFill="1" applyBorder="1" applyAlignment="1" applyProtection="1">
      <alignment horizontal="center"/>
      <protection locked="0"/>
    </xf>
    <xf numFmtId="0" fontId="47" fillId="0" borderId="0" xfId="0" applyFont="1" applyAlignment="1" applyProtection="1">
      <alignment wrapText="1"/>
      <protection locked="0"/>
    </xf>
    <xf numFmtId="0" fontId="9" fillId="0" borderId="0" xfId="0" applyFont="1" applyAlignment="1" applyProtection="1">
      <alignment wrapText="1"/>
      <protection locked="0"/>
    </xf>
    <xf numFmtId="0" fontId="37" fillId="0" borderId="0" xfId="0" applyFont="1" applyAlignment="1" applyProtection="1">
      <alignment vertical="center" wrapText="1"/>
      <protection locked="0"/>
    </xf>
    <xf numFmtId="0" fontId="8" fillId="0" borderId="0" xfId="0" applyFont="1" applyAlignment="1" applyProtection="1">
      <alignment wrapText="1"/>
      <protection locked="0"/>
    </xf>
    <xf numFmtId="0" fontId="7" fillId="0" borderId="0" xfId="0" applyFont="1" applyFill="1" applyAlignment="1" applyProtection="1">
      <alignment wrapText="1"/>
      <protection locked="0"/>
    </xf>
    <xf numFmtId="0" fontId="0" fillId="3" borderId="0" xfId="0" applyFill="1" applyAlignment="1" applyProtection="1">
      <alignment wrapText="1"/>
      <protection locked="0"/>
    </xf>
    <xf numFmtId="0" fontId="4" fillId="0" borderId="0" xfId="0" applyFont="1" applyAlignment="1" applyProtection="1">
      <alignment wrapText="1"/>
      <protection locked="0"/>
    </xf>
    <xf numFmtId="0" fontId="12" fillId="0" borderId="0" xfId="0" applyFont="1" applyAlignment="1" applyProtection="1">
      <alignment vertical="center" wrapText="1"/>
      <protection locked="0"/>
    </xf>
    <xf numFmtId="0" fontId="6" fillId="0" borderId="0" xfId="0" applyFont="1" applyFill="1" applyAlignment="1" applyProtection="1">
      <alignment wrapText="1"/>
      <protection locked="0"/>
    </xf>
    <xf numFmtId="0" fontId="11" fillId="0" borderId="0" xfId="0" applyFont="1" applyAlignment="1" applyProtection="1">
      <alignment wrapText="1"/>
      <protection locked="0"/>
    </xf>
    <xf numFmtId="0" fontId="3" fillId="0" borderId="0" xfId="0" applyFont="1" applyAlignment="1" applyProtection="1">
      <alignment wrapText="1"/>
      <protection locked="0"/>
    </xf>
    <xf numFmtId="0" fontId="10" fillId="0" borderId="0" xfId="0" applyFont="1" applyAlignment="1" applyProtection="1">
      <alignment wrapText="1"/>
      <protection locked="0"/>
    </xf>
    <xf numFmtId="0" fontId="47" fillId="0" borderId="0" xfId="0" applyFont="1" applyFill="1" applyAlignment="1" applyProtection="1">
      <alignment wrapText="1"/>
      <protection locked="0"/>
    </xf>
    <xf numFmtId="0" fontId="12" fillId="0" borderId="0" xfId="0" applyFont="1" applyFill="1" applyAlignment="1" applyProtection="1">
      <alignment wrapText="1"/>
      <protection locked="0"/>
    </xf>
    <xf numFmtId="0" fontId="4" fillId="0" borderId="0" xfId="0" applyFont="1" applyFill="1" applyAlignment="1" applyProtection="1">
      <alignment wrapText="1"/>
      <protection locked="0"/>
    </xf>
    <xf numFmtId="0" fontId="10" fillId="0" borderId="0" xfId="0" applyFont="1" applyFill="1" applyAlignment="1" applyProtection="1">
      <alignment wrapText="1"/>
      <protection locked="0"/>
    </xf>
    <xf numFmtId="0" fontId="27" fillId="0" borderId="0" xfId="0" applyFont="1" applyAlignment="1" applyProtection="1">
      <alignment wrapText="1"/>
      <protection locked="0"/>
    </xf>
    <xf numFmtId="165" fontId="2" fillId="0" borderId="20" xfId="0" applyNumberFormat="1" applyFont="1" applyFill="1" applyBorder="1" applyAlignment="1" applyProtection="1">
      <alignment horizontal="center"/>
    </xf>
    <xf numFmtId="164" fontId="29" fillId="2" borderId="21" xfId="0" applyNumberFormat="1" applyFont="1" applyFill="1" applyBorder="1" applyProtection="1"/>
    <xf numFmtId="164" fontId="29" fillId="2" borderId="24" xfId="0" applyNumberFormat="1" applyFont="1" applyFill="1" applyBorder="1" applyProtection="1"/>
    <xf numFmtId="164" fontId="29" fillId="2" borderId="3" xfId="0" applyNumberFormat="1" applyFont="1" applyFill="1" applyBorder="1" applyProtection="1"/>
    <xf numFmtId="164" fontId="29" fillId="2" borderId="4" xfId="0" applyNumberFormat="1" applyFont="1" applyFill="1" applyBorder="1" applyProtection="1"/>
    <xf numFmtId="164" fontId="12" fillId="2" borderId="4" xfId="0" applyNumberFormat="1" applyFont="1" applyFill="1" applyBorder="1" applyProtection="1"/>
    <xf numFmtId="164" fontId="12" fillId="2" borderId="3" xfId="0" applyNumberFormat="1" applyFont="1" applyFill="1" applyBorder="1" applyProtection="1"/>
    <xf numFmtId="164" fontId="12" fillId="2" borderId="16" xfId="0" applyNumberFormat="1" applyFont="1" applyFill="1" applyBorder="1" applyProtection="1"/>
    <xf numFmtId="165" fontId="12" fillId="2" borderId="20" xfId="0" applyNumberFormat="1" applyFont="1" applyFill="1" applyBorder="1" applyAlignment="1" applyProtection="1">
      <alignment horizontal="center"/>
    </xf>
    <xf numFmtId="164" fontId="12" fillId="2" borderId="18" xfId="0" applyNumberFormat="1" applyFont="1" applyFill="1" applyBorder="1" applyProtection="1"/>
    <xf numFmtId="164" fontId="18" fillId="2" borderId="4" xfId="0" applyNumberFormat="1" applyFont="1" applyFill="1" applyBorder="1" applyProtection="1"/>
    <xf numFmtId="164" fontId="27" fillId="2" borderId="4" xfId="0" applyNumberFormat="1" applyFont="1" applyFill="1" applyBorder="1" applyProtection="1"/>
    <xf numFmtId="0" fontId="18" fillId="2" borderId="20" xfId="0" applyFont="1" applyFill="1" applyBorder="1" applyAlignment="1" applyProtection="1">
      <alignment horizontal="center"/>
    </xf>
    <xf numFmtId="169" fontId="18" fillId="2" borderId="4" xfId="1" applyNumberFormat="1" applyFont="1" applyFill="1" applyBorder="1" applyProtection="1"/>
    <xf numFmtId="0" fontId="18" fillId="2" borderId="20" xfId="0" applyNumberFormat="1" applyFont="1" applyFill="1" applyBorder="1" applyAlignment="1" applyProtection="1">
      <alignment horizontal="center"/>
    </xf>
    <xf numFmtId="0" fontId="27" fillId="2" borderId="20" xfId="0" applyNumberFormat="1" applyFont="1" applyFill="1" applyBorder="1" applyAlignment="1" applyProtection="1">
      <alignment horizontal="center"/>
    </xf>
    <xf numFmtId="0" fontId="18" fillId="2" borderId="4" xfId="0" applyFont="1" applyFill="1" applyBorder="1" applyAlignment="1" applyProtection="1">
      <alignment wrapText="1"/>
    </xf>
    <xf numFmtId="14" fontId="18" fillId="2" borderId="4" xfId="0" applyNumberFormat="1" applyFont="1" applyFill="1" applyBorder="1" applyProtection="1"/>
    <xf numFmtId="0" fontId="27" fillId="2" borderId="4" xfId="0" applyFont="1" applyFill="1" applyBorder="1" applyAlignment="1" applyProtection="1">
      <alignment wrapText="1"/>
    </xf>
    <xf numFmtId="14" fontId="27" fillId="2" borderId="4" xfId="0" applyNumberFormat="1" applyFont="1" applyFill="1" applyBorder="1" applyProtection="1"/>
    <xf numFmtId="164" fontId="18" fillId="2" borderId="3" xfId="0" applyNumberFormat="1" applyFont="1" applyFill="1" applyBorder="1" applyProtection="1"/>
    <xf numFmtId="164" fontId="18" fillId="2" borderId="18" xfId="0" applyNumberFormat="1" applyFont="1" applyFill="1" applyBorder="1" applyProtection="1"/>
    <xf numFmtId="164" fontId="18" fillId="2" borderId="16" xfId="0" applyNumberFormat="1" applyFont="1" applyFill="1" applyBorder="1" applyProtection="1"/>
    <xf numFmtId="164" fontId="29" fillId="2" borderId="16" xfId="0" applyNumberFormat="1" applyFont="1" applyFill="1" applyBorder="1" applyProtection="1"/>
    <xf numFmtId="0" fontId="1" fillId="7" borderId="4" xfId="0" applyNumberFormat="1" applyFont="1" applyFill="1" applyBorder="1" applyAlignment="1" applyProtection="1">
      <alignment horizontal="left" vertical="center"/>
      <protection locked="0"/>
    </xf>
    <xf numFmtId="0" fontId="1" fillId="7" borderId="4" xfId="0" applyFont="1" applyFill="1" applyBorder="1" applyAlignment="1" applyProtection="1">
      <alignment horizontal="center"/>
      <protection locked="0"/>
    </xf>
    <xf numFmtId="165" fontId="1" fillId="7" borderId="4" xfId="0" applyNumberFormat="1" applyFont="1" applyFill="1" applyBorder="1" applyAlignment="1" applyProtection="1">
      <alignment horizontal="center"/>
      <protection locked="0"/>
    </xf>
    <xf numFmtId="14" fontId="1" fillId="7" borderId="4" xfId="0" applyNumberFormat="1" applyFont="1" applyFill="1" applyBorder="1" applyProtection="1">
      <protection locked="0"/>
    </xf>
    <xf numFmtId="0" fontId="1" fillId="7" borderId="4" xfId="0" applyFont="1" applyFill="1" applyBorder="1" applyAlignment="1" applyProtection="1">
      <alignment wrapText="1"/>
      <protection locked="0"/>
    </xf>
    <xf numFmtId="0" fontId="1" fillId="7" borderId="20" xfId="0" applyFont="1" applyFill="1" applyBorder="1" applyAlignment="1" applyProtection="1">
      <alignment horizontal="center" wrapText="1"/>
      <protection locked="0"/>
    </xf>
    <xf numFmtId="0" fontId="27" fillId="4" borderId="11" xfId="0" applyFont="1" applyFill="1" applyBorder="1" applyAlignment="1">
      <alignment horizontal="center"/>
    </xf>
    <xf numFmtId="0" fontId="27" fillId="4" borderId="15" xfId="0" applyFont="1" applyFill="1" applyBorder="1" applyAlignment="1">
      <alignment horizontal="center"/>
    </xf>
    <xf numFmtId="0" fontId="35" fillId="0" borderId="13" xfId="5" applyFont="1" applyBorder="1" applyAlignment="1">
      <alignment horizontal="center"/>
    </xf>
    <xf numFmtId="0" fontId="20" fillId="0" borderId="0" xfId="5" applyFont="1" applyBorder="1" applyAlignment="1">
      <alignment horizontal="center"/>
    </xf>
    <xf numFmtId="0" fontId="46" fillId="0" borderId="0" xfId="0" applyFont="1" applyProtection="1">
      <protection locked="0"/>
    </xf>
    <xf numFmtId="0" fontId="12" fillId="0" borderId="0" xfId="0" applyFont="1" applyBorder="1" applyProtection="1">
      <protection locked="0"/>
    </xf>
    <xf numFmtId="0" fontId="18" fillId="0" borderId="0" xfId="0" applyFont="1" applyBorder="1" applyProtection="1">
      <protection locked="0"/>
    </xf>
    <xf numFmtId="0" fontId="12" fillId="0" borderId="0" xfId="0" applyFont="1" applyBorder="1" applyAlignment="1" applyProtection="1">
      <alignment horizontal="right"/>
      <protection locked="0"/>
    </xf>
    <xf numFmtId="0" fontId="12" fillId="0" borderId="14" xfId="0" applyFont="1" applyBorder="1" applyProtection="1">
      <protection locked="0"/>
    </xf>
    <xf numFmtId="0" fontId="18" fillId="0" borderId="14" xfId="0" applyFont="1" applyBorder="1" applyProtection="1">
      <protection locked="0"/>
    </xf>
    <xf numFmtId="0" fontId="18" fillId="0" borderId="14" xfId="0" applyFont="1" applyBorder="1" applyAlignment="1" applyProtection="1">
      <alignment horizontal="right"/>
      <protection locked="0"/>
    </xf>
    <xf numFmtId="0" fontId="12" fillId="0" borderId="0" xfId="0" applyFont="1" applyProtection="1">
      <protection locked="0"/>
    </xf>
    <xf numFmtId="0" fontId="29" fillId="0" borderId="0" xfId="0" applyFont="1" applyProtection="1">
      <protection locked="0"/>
    </xf>
    <xf numFmtId="0" fontId="25" fillId="0" borderId="0" xfId="0" applyFont="1" applyBorder="1" applyAlignment="1" applyProtection="1">
      <alignment vertical="center"/>
      <protection locked="0"/>
    </xf>
    <xf numFmtId="0" fontId="18" fillId="0" borderId="4" xfId="0" applyFont="1" applyBorder="1" applyAlignment="1" applyProtection="1">
      <alignment horizontal="center" vertical="center"/>
      <protection locked="0"/>
    </xf>
    <xf numFmtId="0" fontId="12" fillId="0" borderId="20" xfId="0" applyFont="1" applyBorder="1" applyAlignment="1" applyProtection="1">
      <alignment horizontal="left" vertical="center"/>
      <protection locked="0"/>
    </xf>
    <xf numFmtId="0" fontId="5" fillId="0" borderId="20" xfId="0" applyFont="1" applyFill="1" applyBorder="1" applyAlignment="1" applyProtection="1">
      <alignment horizontal="left" vertical="center"/>
      <protection locked="0"/>
    </xf>
    <xf numFmtId="0" fontId="18" fillId="0" borderId="20" xfId="0" applyFont="1" applyBorder="1" applyAlignment="1" applyProtection="1">
      <alignment horizontal="left" vertical="center"/>
      <protection locked="0"/>
    </xf>
    <xf numFmtId="166" fontId="18" fillId="2" borderId="4" xfId="0" applyNumberFormat="1" applyFont="1" applyFill="1" applyBorder="1" applyAlignment="1" applyProtection="1">
      <alignment horizontal="left" vertical="center"/>
      <protection locked="0"/>
    </xf>
    <xf numFmtId="0" fontId="18" fillId="0" borderId="20" xfId="0" applyFont="1" applyBorder="1" applyAlignment="1" applyProtection="1">
      <alignment horizontal="left" vertical="center" wrapText="1"/>
      <protection locked="0"/>
    </xf>
    <xf numFmtId="0" fontId="18" fillId="2" borderId="4" xfId="0" applyFont="1" applyFill="1" applyBorder="1" applyAlignment="1" applyProtection="1">
      <alignment horizontal="left" vertical="center"/>
      <protection locked="0"/>
    </xf>
    <xf numFmtId="0" fontId="18" fillId="0" borderId="20" xfId="0" applyFont="1" applyBorder="1" applyAlignment="1" applyProtection="1">
      <alignment vertical="center"/>
      <protection locked="0"/>
    </xf>
    <xf numFmtId="0" fontId="18" fillId="0" borderId="0" xfId="0" applyFont="1" applyBorder="1" applyAlignment="1" applyProtection="1">
      <alignment horizontal="right"/>
      <protection locked="0"/>
    </xf>
    <xf numFmtId="0" fontId="20" fillId="0" borderId="0" xfId="0" applyFont="1" applyFill="1" applyBorder="1" applyAlignment="1" applyProtection="1">
      <alignment vertical="center"/>
      <protection locked="0"/>
    </xf>
    <xf numFmtId="0" fontId="29" fillId="0" borderId="0" xfId="0" applyFont="1" applyFill="1" applyProtection="1">
      <protection locked="0"/>
    </xf>
    <xf numFmtId="0" fontId="20" fillId="0" borderId="0" xfId="0" applyFont="1" applyFill="1" applyProtection="1">
      <protection locked="0"/>
    </xf>
    <xf numFmtId="0" fontId="20" fillId="0" borderId="20" xfId="0" applyFont="1" applyFill="1" applyBorder="1" applyAlignment="1" applyProtection="1">
      <alignment horizontal="center"/>
      <protection locked="0"/>
    </xf>
    <xf numFmtId="14" fontId="29" fillId="2" borderId="4" xfId="8" applyNumberFormat="1" applyFont="1" applyFill="1" applyBorder="1" applyAlignment="1" applyProtection="1">
      <alignment horizontal="center"/>
      <protection locked="0"/>
    </xf>
    <xf numFmtId="0" fontId="29" fillId="0" borderId="4" xfId="0" applyFont="1" applyFill="1" applyBorder="1" applyAlignment="1" applyProtection="1">
      <alignment horizontal="center"/>
      <protection locked="0"/>
    </xf>
    <xf numFmtId="0" fontId="20" fillId="2" borderId="20" xfId="0" applyFont="1" applyFill="1" applyBorder="1" applyAlignment="1" applyProtection="1">
      <protection locked="0"/>
    </xf>
    <xf numFmtId="9" fontId="20" fillId="2" borderId="21" xfId="1" applyFont="1" applyFill="1" applyBorder="1" applyAlignment="1" applyProtection="1">
      <alignment horizontal="center" wrapText="1"/>
      <protection locked="0"/>
    </xf>
    <xf numFmtId="0" fontId="29" fillId="0" borderId="3" xfId="0" applyFont="1" applyFill="1" applyBorder="1" applyAlignment="1" applyProtection="1">
      <alignment horizontal="center"/>
      <protection locked="0"/>
    </xf>
    <xf numFmtId="0" fontId="29" fillId="0" borderId="20" xfId="0" applyFont="1" applyFill="1" applyBorder="1" applyProtection="1">
      <protection locked="0"/>
    </xf>
    <xf numFmtId="0" fontId="12" fillId="0" borderId="4" xfId="0" applyFont="1" applyFill="1" applyBorder="1" applyAlignment="1" applyProtection="1">
      <alignment horizontal="center"/>
      <protection locked="0"/>
    </xf>
    <xf numFmtId="0" fontId="12" fillId="0" borderId="20" xfId="0" applyFont="1" applyFill="1" applyBorder="1" applyProtection="1">
      <protection locked="0"/>
    </xf>
    <xf numFmtId="0" fontId="29" fillId="0" borderId="21" xfId="0" applyFont="1" applyFill="1" applyBorder="1" applyAlignment="1" applyProtection="1">
      <alignment horizontal="center"/>
      <protection locked="0"/>
    </xf>
    <xf numFmtId="9" fontId="20" fillId="2" borderId="4" xfId="1" applyFont="1" applyFill="1" applyBorder="1" applyAlignment="1" applyProtection="1">
      <alignment horizontal="center" wrapText="1"/>
      <protection locked="0"/>
    </xf>
    <xf numFmtId="9" fontId="20" fillId="2" borderId="20" xfId="1" applyFont="1" applyFill="1" applyBorder="1" applyAlignment="1" applyProtection="1">
      <alignment horizontal="center" wrapText="1"/>
      <protection locked="0"/>
    </xf>
    <xf numFmtId="0" fontId="29" fillId="0" borderId="23" xfId="0" applyFont="1" applyFill="1" applyBorder="1" applyProtection="1">
      <protection locked="0"/>
    </xf>
    <xf numFmtId="164" fontId="12" fillId="0" borderId="18" xfId="0" applyNumberFormat="1" applyFont="1" applyBorder="1" applyProtection="1">
      <protection locked="0"/>
    </xf>
    <xf numFmtId="164" fontId="29" fillId="0" borderId="3" xfId="0" applyNumberFormat="1" applyFont="1" applyFill="1" applyBorder="1" applyProtection="1">
      <protection locked="0"/>
    </xf>
    <xf numFmtId="164" fontId="12" fillId="0" borderId="4" xfId="0" applyNumberFormat="1" applyFont="1" applyBorder="1" applyProtection="1">
      <protection locked="0"/>
    </xf>
    <xf numFmtId="164" fontId="29" fillId="0" borderId="4" xfId="0" applyNumberFormat="1" applyFont="1" applyFill="1" applyBorder="1" applyProtection="1">
      <protection locked="0"/>
    </xf>
    <xf numFmtId="0" fontId="29" fillId="0" borderId="3" xfId="0" applyFont="1" applyFill="1" applyBorder="1" applyProtection="1">
      <protection locked="0"/>
    </xf>
    <xf numFmtId="164" fontId="12" fillId="0" borderId="4" xfId="0" applyNumberFormat="1" applyFont="1" applyFill="1" applyBorder="1" applyProtection="1">
      <protection locked="0"/>
    </xf>
    <xf numFmtId="0" fontId="29" fillId="0" borderId="4" xfId="0" applyFont="1" applyFill="1" applyBorder="1" applyProtection="1">
      <protection locked="0"/>
    </xf>
    <xf numFmtId="0" fontId="20" fillId="0" borderId="4" xfId="0" applyFont="1" applyFill="1" applyBorder="1" applyProtection="1">
      <protection locked="0"/>
    </xf>
    <xf numFmtId="164" fontId="20" fillId="0" borderId="4" xfId="0" applyNumberFormat="1" applyFont="1" applyFill="1" applyBorder="1" applyProtection="1">
      <protection locked="0"/>
    </xf>
    <xf numFmtId="164" fontId="20" fillId="0" borderId="3" xfId="0" applyNumberFormat="1" applyFont="1" applyFill="1" applyBorder="1" applyProtection="1">
      <protection locked="0"/>
    </xf>
    <xf numFmtId="0" fontId="20" fillId="0" borderId="0" xfId="0" applyFont="1" applyFill="1" applyBorder="1" applyAlignment="1" applyProtection="1">
      <alignment horizontal="left"/>
      <protection locked="0"/>
    </xf>
    <xf numFmtId="0" fontId="20" fillId="2" borderId="20" xfId="0" applyFont="1" applyFill="1" applyBorder="1" applyProtection="1">
      <protection locked="0"/>
    </xf>
    <xf numFmtId="0" fontId="29" fillId="0" borderId="4" xfId="0" applyFont="1" applyBorder="1" applyAlignment="1" applyProtection="1">
      <alignment horizontal="center"/>
      <protection locked="0"/>
    </xf>
    <xf numFmtId="0" fontId="20" fillId="0" borderId="4" xfId="0" applyFont="1" applyBorder="1" applyAlignment="1" applyProtection="1">
      <alignment horizontal="left"/>
      <protection locked="0"/>
    </xf>
    <xf numFmtId="164" fontId="29" fillId="0" borderId="4" xfId="7" applyNumberFormat="1" applyFont="1" applyFill="1" applyBorder="1" applyProtection="1">
      <protection locked="0"/>
    </xf>
    <xf numFmtId="164" fontId="29" fillId="0" borderId="21" xfId="7" applyNumberFormat="1" applyFont="1" applyFill="1" applyBorder="1" applyProtection="1">
      <protection locked="0"/>
    </xf>
    <xf numFmtId="0" fontId="20" fillId="0" borderId="20" xfId="0" applyFont="1" applyBorder="1" applyAlignment="1" applyProtection="1">
      <alignment horizontal="left"/>
      <protection locked="0"/>
    </xf>
    <xf numFmtId="164" fontId="29" fillId="0" borderId="2" xfId="7" applyNumberFormat="1" applyFont="1" applyFill="1" applyBorder="1" applyProtection="1">
      <protection locked="0"/>
    </xf>
    <xf numFmtId="0" fontId="20" fillId="0" borderId="20" xfId="0" applyFont="1" applyFill="1" applyBorder="1" applyAlignment="1" applyProtection="1">
      <alignment horizontal="left"/>
      <protection locked="0"/>
    </xf>
    <xf numFmtId="0" fontId="0" fillId="0" borderId="0" xfId="0" applyProtection="1">
      <protection locked="0"/>
    </xf>
    <xf numFmtId="0" fontId="20" fillId="0" borderId="0" xfId="0" applyFont="1" applyBorder="1" applyAlignment="1" applyProtection="1">
      <alignment horizontal="center" vertical="center"/>
      <protection locked="0"/>
    </xf>
    <xf numFmtId="0" fontId="20" fillId="0" borderId="4" xfId="0" applyFont="1" applyFill="1" applyBorder="1" applyAlignment="1" applyProtection="1">
      <protection locked="0"/>
    </xf>
    <xf numFmtId="0" fontId="20" fillId="0" borderId="4" xfId="0" applyFont="1" applyFill="1" applyBorder="1" applyAlignment="1" applyProtection="1">
      <alignment horizontal="center"/>
      <protection locked="0"/>
    </xf>
    <xf numFmtId="14" fontId="12" fillId="2" borderId="4" xfId="0" applyNumberFormat="1" applyFont="1" applyFill="1" applyBorder="1" applyAlignment="1" applyProtection="1">
      <alignment horizontal="center"/>
      <protection locked="0"/>
    </xf>
    <xf numFmtId="0" fontId="12" fillId="0" borderId="0" xfId="0" applyFont="1" applyFill="1" applyBorder="1" applyProtection="1">
      <protection locked="0"/>
    </xf>
    <xf numFmtId="0" fontId="20" fillId="0" borderId="0" xfId="0" applyFont="1" applyFill="1" applyBorder="1" applyAlignment="1" applyProtection="1">
      <alignment horizontal="center"/>
      <protection locked="0"/>
    </xf>
    <xf numFmtId="14" fontId="12" fillId="0" borderId="0" xfId="0" applyNumberFormat="1" applyFont="1" applyFill="1" applyBorder="1" applyAlignment="1" applyProtection="1">
      <alignment horizontal="center"/>
      <protection locked="0"/>
    </xf>
    <xf numFmtId="0" fontId="25" fillId="0" borderId="22" xfId="0" applyFont="1" applyFill="1" applyBorder="1" applyAlignment="1" applyProtection="1">
      <alignment horizontal="left"/>
      <protection locked="0"/>
    </xf>
    <xf numFmtId="0" fontId="20" fillId="0" borderId="22" xfId="0" applyFont="1" applyFill="1" applyBorder="1" applyAlignment="1" applyProtection="1">
      <alignment horizontal="center"/>
      <protection locked="0"/>
    </xf>
    <xf numFmtId="0" fontId="12" fillId="0" borderId="22" xfId="0" applyFont="1" applyBorder="1" applyProtection="1">
      <protection locked="0"/>
    </xf>
    <xf numFmtId="0" fontId="20" fillId="0" borderId="22" xfId="0" applyFont="1" applyFill="1" applyBorder="1" applyAlignment="1" applyProtection="1">
      <alignment horizontal="left"/>
      <protection locked="0"/>
    </xf>
    <xf numFmtId="14" fontId="12" fillId="0" borderId="22" xfId="0" applyNumberFormat="1" applyFont="1" applyFill="1" applyBorder="1" applyAlignment="1" applyProtection="1">
      <alignment horizontal="center"/>
      <protection locked="0"/>
    </xf>
    <xf numFmtId="0" fontId="31" fillId="0" borderId="0" xfId="0" applyFont="1" applyFill="1" applyBorder="1" applyAlignment="1" applyProtection="1">
      <alignment horizontal="left"/>
      <protection locked="0"/>
    </xf>
    <xf numFmtId="0" fontId="12" fillId="0" borderId="4" xfId="0" applyFont="1" applyBorder="1" applyAlignment="1" applyProtection="1">
      <alignment horizontal="center"/>
      <protection locked="0"/>
    </xf>
    <xf numFmtId="14" fontId="12" fillId="0" borderId="16" xfId="0" applyNumberFormat="1" applyFont="1" applyFill="1" applyBorder="1" applyAlignment="1" applyProtection="1">
      <alignment horizontal="center"/>
      <protection locked="0"/>
    </xf>
    <xf numFmtId="0" fontId="27" fillId="0" borderId="4" xfId="0" applyFont="1" applyFill="1" applyBorder="1" applyAlignment="1" applyProtection="1">
      <alignment horizontal="center" vertical="center" wrapText="1"/>
      <protection locked="0"/>
    </xf>
    <xf numFmtId="0" fontId="20" fillId="0" borderId="4" xfId="0" applyFont="1" applyFill="1" applyBorder="1" applyAlignment="1" applyProtection="1">
      <alignment horizontal="center" vertical="center" wrapText="1"/>
      <protection locked="0"/>
    </xf>
    <xf numFmtId="0" fontId="27" fillId="2" borderId="4" xfId="0" applyFont="1" applyFill="1" applyBorder="1" applyAlignment="1" applyProtection="1">
      <alignment horizontal="center" vertical="center"/>
      <protection locked="0"/>
    </xf>
    <xf numFmtId="0" fontId="20" fillId="0" borderId="4" xfId="0" applyFont="1" applyFill="1" applyBorder="1" applyAlignment="1" applyProtection="1">
      <alignment horizontal="left"/>
      <protection locked="0"/>
    </xf>
    <xf numFmtId="0" fontId="20" fillId="0" borderId="16" xfId="0" applyFont="1" applyFill="1" applyBorder="1" applyAlignment="1" applyProtection="1">
      <alignment horizontal="left"/>
      <protection locked="0"/>
    </xf>
    <xf numFmtId="164" fontId="12" fillId="2" borderId="16" xfId="0" applyNumberFormat="1" applyFont="1" applyFill="1" applyBorder="1" applyProtection="1">
      <protection locked="0"/>
    </xf>
    <xf numFmtId="0" fontId="20" fillId="0" borderId="20" xfId="0" applyFont="1" applyFill="1" applyBorder="1" applyAlignment="1" applyProtection="1">
      <protection locked="0"/>
    </xf>
    <xf numFmtId="0" fontId="20" fillId="0" borderId="16" xfId="0" applyFont="1" applyFill="1" applyBorder="1" applyAlignment="1" applyProtection="1">
      <protection locked="0"/>
    </xf>
    <xf numFmtId="164" fontId="12" fillId="2" borderId="4" xfId="0" applyNumberFormat="1" applyFont="1" applyFill="1" applyBorder="1" applyProtection="1">
      <protection locked="0"/>
    </xf>
    <xf numFmtId="0" fontId="20" fillId="0" borderId="5" xfId="0" applyFont="1" applyFill="1" applyBorder="1" applyAlignment="1" applyProtection="1">
      <protection locked="0"/>
    </xf>
    <xf numFmtId="164" fontId="12" fillId="2" borderId="3" xfId="0" applyNumberFormat="1" applyFont="1" applyFill="1" applyBorder="1" applyProtection="1">
      <protection locked="0"/>
    </xf>
    <xf numFmtId="0" fontId="20" fillId="2" borderId="20" xfId="0" applyFont="1" applyFill="1" applyBorder="1" applyAlignment="1" applyProtection="1">
      <alignment vertical="center"/>
      <protection locked="0"/>
    </xf>
    <xf numFmtId="0" fontId="20" fillId="2" borderId="5" xfId="0" applyFont="1" applyFill="1" applyBorder="1" applyAlignment="1" applyProtection="1">
      <alignment vertical="center"/>
      <protection locked="0"/>
    </xf>
    <xf numFmtId="0" fontId="20" fillId="2" borderId="16" xfId="0" applyFont="1" applyFill="1" applyBorder="1" applyAlignment="1" applyProtection="1">
      <alignment vertical="center"/>
      <protection locked="0"/>
    </xf>
    <xf numFmtId="164" fontId="20" fillId="2" borderId="4" xfId="0" applyNumberFormat="1" applyFont="1" applyFill="1" applyBorder="1" applyProtection="1">
      <protection locked="0"/>
    </xf>
    <xf numFmtId="164" fontId="20" fillId="2" borderId="16" xfId="0" applyNumberFormat="1" applyFont="1" applyFill="1" applyBorder="1" applyProtection="1">
      <protection locked="0"/>
    </xf>
    <xf numFmtId="0" fontId="20" fillId="2" borderId="4" xfId="0" applyFont="1" applyFill="1" applyBorder="1" applyAlignment="1" applyProtection="1">
      <alignment vertical="center"/>
      <protection locked="0"/>
    </xf>
    <xf numFmtId="164" fontId="20" fillId="0" borderId="0" xfId="0" applyNumberFormat="1" applyFont="1" applyFill="1" applyBorder="1" applyProtection="1">
      <protection locked="0"/>
    </xf>
    <xf numFmtId="0" fontId="27" fillId="0" borderId="0" xfId="0" applyFont="1" applyBorder="1" applyProtection="1">
      <protection locked="0"/>
    </xf>
    <xf numFmtId="9" fontId="20" fillId="0" borderId="0" xfId="1" applyFont="1" applyFill="1" applyBorder="1" applyProtection="1">
      <protection locked="0"/>
    </xf>
    <xf numFmtId="0" fontId="26" fillId="0" borderId="22" xfId="0" applyFont="1" applyBorder="1" applyProtection="1">
      <protection locked="0"/>
    </xf>
    <xf numFmtId="0" fontId="27" fillId="0" borderId="22" xfId="0" applyFont="1" applyBorder="1" applyProtection="1">
      <protection locked="0"/>
    </xf>
    <xf numFmtId="9" fontId="20" fillId="0" borderId="22" xfId="1" applyFont="1" applyFill="1" applyBorder="1" applyProtection="1">
      <protection locked="0"/>
    </xf>
    <xf numFmtId="0" fontId="12" fillId="0" borderId="22" xfId="0" applyFont="1" applyFill="1" applyBorder="1" applyProtection="1">
      <protection locked="0"/>
    </xf>
    <xf numFmtId="0" fontId="32" fillId="0" borderId="0" xfId="0" applyFont="1" applyBorder="1" applyProtection="1">
      <protection locked="0"/>
    </xf>
    <xf numFmtId="0" fontId="20" fillId="0" borderId="20" xfId="1" applyNumberFormat="1" applyFont="1" applyFill="1" applyBorder="1" applyAlignment="1" applyProtection="1">
      <alignment horizontal="center" vertical="center" wrapText="1"/>
      <protection locked="0"/>
    </xf>
    <xf numFmtId="0" fontId="20" fillId="0" borderId="4" xfId="1" applyNumberFormat="1" applyFont="1" applyFill="1" applyBorder="1" applyAlignment="1" applyProtection="1">
      <alignment horizontal="center" vertical="center" wrapText="1"/>
      <protection locked="0"/>
    </xf>
    <xf numFmtId="0" fontId="27" fillId="2" borderId="16" xfId="0" applyFont="1" applyFill="1" applyBorder="1" applyAlignment="1" applyProtection="1">
      <alignment horizontal="center" vertical="center"/>
      <protection locked="0"/>
    </xf>
    <xf numFmtId="0" fontId="12" fillId="0" borderId="20" xfId="0" applyNumberFormat="1" applyFont="1" applyFill="1" applyBorder="1" applyAlignment="1" applyProtection="1">
      <alignment horizontal="center"/>
      <protection locked="0"/>
    </xf>
    <xf numFmtId="165" fontId="12" fillId="2" borderId="20" xfId="0" applyNumberFormat="1" applyFont="1" applyFill="1" applyBorder="1" applyAlignment="1" applyProtection="1">
      <alignment horizontal="center"/>
      <protection locked="0"/>
    </xf>
    <xf numFmtId="0" fontId="20" fillId="7" borderId="4" xfId="0" applyFont="1" applyFill="1" applyBorder="1" applyAlignment="1" applyProtection="1">
      <alignment horizontal="left"/>
      <protection locked="0"/>
    </xf>
    <xf numFmtId="9" fontId="20" fillId="7" borderId="4" xfId="1" applyFont="1" applyFill="1" applyBorder="1" applyProtection="1">
      <protection locked="0"/>
    </xf>
    <xf numFmtId="0" fontId="12" fillId="7" borderId="4" xfId="0" applyFont="1" applyFill="1" applyBorder="1" applyAlignment="1" applyProtection="1">
      <alignment wrapText="1"/>
    </xf>
    <xf numFmtId="0" fontId="12" fillId="7" borderId="4" xfId="0" applyFont="1" applyFill="1" applyBorder="1" applyAlignment="1" applyProtection="1">
      <alignment horizontal="left"/>
    </xf>
    <xf numFmtId="0" fontId="28" fillId="0" borderId="0" xfId="4" applyFont="1" applyBorder="1" applyAlignment="1" applyProtection="1">
      <protection locked="0"/>
    </xf>
    <xf numFmtId="0" fontId="40" fillId="0" borderId="0" xfId="0" applyFont="1" applyProtection="1">
      <protection locked="0"/>
    </xf>
    <xf numFmtId="0" fontId="25" fillId="0" borderId="0" xfId="0" applyFont="1" applyBorder="1" applyAlignment="1" applyProtection="1">
      <alignment horizontal="left" vertical="center"/>
      <protection locked="0"/>
    </xf>
    <xf numFmtId="0" fontId="18" fillId="0" borderId="0" xfId="0" applyFont="1" applyFill="1" applyBorder="1" applyProtection="1">
      <protection locked="0"/>
    </xf>
    <xf numFmtId="14" fontId="18" fillId="0" borderId="0" xfId="0" applyNumberFormat="1" applyFont="1" applyFill="1" applyBorder="1" applyAlignment="1" applyProtection="1">
      <alignment horizontal="center"/>
      <protection locked="0"/>
    </xf>
    <xf numFmtId="0" fontId="18" fillId="0" borderId="22" xfId="0" applyFont="1" applyBorder="1" applyProtection="1">
      <protection locked="0"/>
    </xf>
    <xf numFmtId="14" fontId="18" fillId="0" borderId="22" xfId="0" applyNumberFormat="1" applyFont="1" applyFill="1" applyBorder="1" applyAlignment="1" applyProtection="1">
      <alignment horizontal="center"/>
      <protection locked="0"/>
    </xf>
    <xf numFmtId="0" fontId="18" fillId="0" borderId="22" xfId="0" applyFont="1" applyFill="1" applyBorder="1" applyProtection="1">
      <protection locked="0"/>
    </xf>
    <xf numFmtId="0" fontId="12" fillId="0" borderId="21" xfId="0" applyFont="1" applyFill="1" applyBorder="1" applyAlignment="1" applyProtection="1">
      <alignment horizontal="center"/>
      <protection locked="0"/>
    </xf>
    <xf numFmtId="14" fontId="12" fillId="0" borderId="4" xfId="0" applyNumberFormat="1" applyFont="1" applyFill="1" applyBorder="1" applyAlignment="1" applyProtection="1">
      <alignment horizontal="center"/>
      <protection locked="0"/>
    </xf>
    <xf numFmtId="0" fontId="12" fillId="0" borderId="19" xfId="0" applyFont="1" applyBorder="1" applyAlignment="1" applyProtection="1">
      <alignment horizontal="center"/>
      <protection locked="0"/>
    </xf>
    <xf numFmtId="0" fontId="27" fillId="0" borderId="21" xfId="0" applyFont="1" applyFill="1" applyBorder="1" applyAlignment="1" applyProtection="1">
      <alignment horizontal="center" vertical="center" wrapText="1"/>
      <protection locked="0"/>
    </xf>
    <xf numFmtId="0" fontId="20" fillId="0" borderId="21" xfId="0" applyFont="1" applyFill="1" applyBorder="1" applyAlignment="1" applyProtection="1">
      <alignment horizontal="center" vertical="center" wrapText="1"/>
      <protection locked="0"/>
    </xf>
    <xf numFmtId="0" fontId="27" fillId="2" borderId="16" xfId="0" applyFont="1" applyFill="1" applyBorder="1" applyAlignment="1" applyProtection="1">
      <alignment horizontal="center" vertical="center" wrapText="1"/>
      <protection locked="0"/>
    </xf>
    <xf numFmtId="164" fontId="12" fillId="2" borderId="18" xfId="0" applyNumberFormat="1" applyFont="1" applyFill="1" applyBorder="1" applyProtection="1">
      <protection locked="0"/>
    </xf>
    <xf numFmtId="164" fontId="18" fillId="2" borderId="23" xfId="0" applyNumberFormat="1" applyFont="1" applyFill="1" applyBorder="1" applyProtection="1">
      <protection locked="0"/>
    </xf>
    <xf numFmtId="164" fontId="18" fillId="2" borderId="4" xfId="0" applyNumberFormat="1" applyFont="1" applyFill="1" applyBorder="1" applyProtection="1">
      <protection locked="0"/>
    </xf>
    <xf numFmtId="0" fontId="20" fillId="2" borderId="4" xfId="0" applyFont="1" applyFill="1" applyBorder="1" applyAlignment="1" applyProtection="1">
      <protection locked="0"/>
    </xf>
    <xf numFmtId="164" fontId="27" fillId="2" borderId="4" xfId="0" applyNumberFormat="1" applyFont="1" applyFill="1" applyBorder="1" applyProtection="1">
      <protection locked="0"/>
    </xf>
    <xf numFmtId="164" fontId="29" fillId="0" borderId="4" xfId="0" applyNumberFormat="1" applyFont="1" applyFill="1" applyBorder="1" applyAlignment="1" applyProtection="1">
      <alignment horizontal="center"/>
      <protection locked="0"/>
    </xf>
    <xf numFmtId="0" fontId="27" fillId="0" borderId="4" xfId="0" applyFont="1" applyBorder="1" applyAlignment="1" applyProtection="1">
      <alignment horizontal="center" vertical="center" wrapText="1"/>
      <protection locked="0"/>
    </xf>
    <xf numFmtId="0" fontId="20" fillId="0" borderId="5" xfId="0" applyFont="1" applyFill="1" applyBorder="1" applyAlignment="1" applyProtection="1">
      <alignment horizontal="left" vertical="center" wrapText="1"/>
      <protection locked="0"/>
    </xf>
    <xf numFmtId="10" fontId="20" fillId="2" borderId="20" xfId="1" applyNumberFormat="1" applyFont="1" applyFill="1" applyBorder="1" applyAlignment="1" applyProtection="1">
      <alignment horizontal="center"/>
      <protection locked="0"/>
    </xf>
    <xf numFmtId="0" fontId="29" fillId="0" borderId="4" xfId="0" applyFont="1" applyFill="1" applyBorder="1" applyAlignment="1" applyProtection="1">
      <alignment horizontal="center" wrapText="1"/>
      <protection locked="0"/>
    </xf>
    <xf numFmtId="0" fontId="18" fillId="0" borderId="4" xfId="0" applyFont="1" applyFill="1" applyBorder="1" applyAlignment="1" applyProtection="1">
      <alignment horizontal="center"/>
      <protection locked="0"/>
    </xf>
    <xf numFmtId="0" fontId="12" fillId="0" borderId="16" xfId="0" applyFont="1" applyFill="1" applyBorder="1" applyAlignment="1" applyProtection="1">
      <alignment horizontal="center"/>
      <protection locked="0"/>
    </xf>
    <xf numFmtId="0" fontId="12" fillId="0" borderId="20" xfId="0" applyFont="1" applyFill="1" applyBorder="1" applyAlignment="1" applyProtection="1">
      <alignment horizontal="center"/>
      <protection locked="0"/>
    </xf>
    <xf numFmtId="0" fontId="27" fillId="0" borderId="4" xfId="0" applyFont="1" applyBorder="1" applyAlignment="1" applyProtection="1">
      <alignment horizontal="center" vertical="center"/>
      <protection locked="0"/>
    </xf>
    <xf numFmtId="0" fontId="27" fillId="0" borderId="21" xfId="0" applyFont="1" applyBorder="1" applyAlignment="1" applyProtection="1">
      <alignment horizontal="center" vertical="center"/>
      <protection locked="0"/>
    </xf>
    <xf numFmtId="9" fontId="20" fillId="0" borderId="21" xfId="1" applyFont="1" applyFill="1" applyBorder="1" applyAlignment="1" applyProtection="1">
      <alignment horizontal="center" vertical="center" wrapText="1"/>
      <protection locked="0"/>
    </xf>
    <xf numFmtId="9" fontId="20" fillId="0" borderId="19" xfId="1" applyFont="1" applyFill="1" applyBorder="1" applyAlignment="1" applyProtection="1">
      <alignment horizontal="center" vertical="center" wrapText="1"/>
      <protection locked="0"/>
    </xf>
    <xf numFmtId="0" fontId="27" fillId="2" borderId="4" xfId="0" applyFont="1" applyFill="1" applyBorder="1" applyAlignment="1" applyProtection="1">
      <alignment horizontal="center" vertical="center" wrapText="1"/>
      <protection locked="0"/>
    </xf>
    <xf numFmtId="9" fontId="39" fillId="0" borderId="0" xfId="1" applyFont="1" applyFill="1" applyBorder="1" applyAlignment="1" applyProtection="1">
      <alignment horizontal="center" wrapText="1"/>
      <protection locked="0"/>
    </xf>
    <xf numFmtId="0" fontId="18" fillId="0" borderId="0" xfId="0" applyFont="1" applyBorder="1" applyAlignment="1" applyProtection="1">
      <alignment vertical="center"/>
      <protection locked="0"/>
    </xf>
    <xf numFmtId="0" fontId="18" fillId="0" borderId="4" xfId="0" applyFont="1" applyBorder="1" applyAlignment="1" applyProtection="1">
      <alignment horizontal="center"/>
      <protection locked="0"/>
    </xf>
    <xf numFmtId="0" fontId="18" fillId="2" borderId="20" xfId="0" applyFont="1" applyFill="1" applyBorder="1" applyAlignment="1" applyProtection="1">
      <alignment horizontal="center"/>
      <protection locked="0"/>
    </xf>
    <xf numFmtId="169" fontId="18" fillId="2" borderId="4" xfId="1" applyNumberFormat="1" applyFont="1" applyFill="1" applyBorder="1" applyProtection="1">
      <protection locked="0"/>
    </xf>
    <xf numFmtId="9" fontId="38" fillId="0" borderId="0" xfId="1" applyFont="1" applyAlignment="1" applyProtection="1">
      <alignment horizontal="center"/>
      <protection locked="0"/>
    </xf>
    <xf numFmtId="0" fontId="40" fillId="0" borderId="0" xfId="0" applyFont="1" applyAlignment="1" applyProtection="1">
      <alignment horizontal="center"/>
      <protection locked="0"/>
    </xf>
    <xf numFmtId="0" fontId="0" fillId="0" borderId="0" xfId="0" applyAlignment="1" applyProtection="1">
      <alignment horizontal="center"/>
      <protection locked="0"/>
    </xf>
    <xf numFmtId="0" fontId="18" fillId="0" borderId="0" xfId="0" applyFont="1" applyBorder="1" applyAlignment="1" applyProtection="1">
      <alignment horizontal="left"/>
      <protection locked="0"/>
    </xf>
    <xf numFmtId="10" fontId="20" fillId="7" borderId="4" xfId="0" applyNumberFormat="1" applyFont="1" applyFill="1" applyBorder="1" applyAlignment="1" applyProtection="1">
      <alignment horizontal="center"/>
    </xf>
    <xf numFmtId="164" fontId="18" fillId="7" borderId="4" xfId="0" applyNumberFormat="1" applyFont="1" applyFill="1" applyBorder="1" applyProtection="1"/>
    <xf numFmtId="164" fontId="18" fillId="7" borderId="4" xfId="0" applyNumberFormat="1" applyFont="1" applyFill="1" applyBorder="1" applyAlignment="1" applyProtection="1">
      <alignment wrapText="1"/>
    </xf>
    <xf numFmtId="9" fontId="18" fillId="7" borderId="4" xfId="1" applyFont="1" applyFill="1" applyBorder="1" applyProtection="1"/>
    <xf numFmtId="0" fontId="1" fillId="0" borderId="0" xfId="0" applyFont="1" applyAlignment="1" applyProtection="1">
      <alignment wrapText="1"/>
      <protection locked="0"/>
    </xf>
    <xf numFmtId="0" fontId="25" fillId="0" borderId="0" xfId="0" applyFont="1" applyFill="1" applyBorder="1" applyAlignment="1" applyProtection="1">
      <protection locked="0"/>
    </xf>
    <xf numFmtId="0" fontId="20" fillId="0" borderId="0" xfId="0" applyFont="1" applyFill="1" applyBorder="1" applyAlignment="1" applyProtection="1">
      <alignment wrapText="1"/>
      <protection locked="0"/>
    </xf>
    <xf numFmtId="0" fontId="20" fillId="0" borderId="0" xfId="0" applyFont="1" applyFill="1" applyBorder="1" applyAlignment="1" applyProtection="1">
      <alignment horizontal="center" wrapText="1"/>
      <protection locked="0"/>
    </xf>
    <xf numFmtId="0" fontId="25" fillId="0" borderId="0" xfId="0" applyFont="1" applyFill="1" applyBorder="1" applyAlignment="1" applyProtection="1">
      <alignment vertical="top"/>
      <protection locked="0"/>
    </xf>
    <xf numFmtId="0" fontId="20" fillId="0" borderId="0" xfId="0" applyFont="1" applyFill="1" applyBorder="1" applyAlignment="1" applyProtection="1">
      <alignment vertical="top" wrapText="1"/>
      <protection locked="0"/>
    </xf>
    <xf numFmtId="0" fontId="20" fillId="0" borderId="0" xfId="0" applyFont="1" applyFill="1" applyBorder="1" applyAlignment="1" applyProtection="1">
      <alignment horizontal="center" vertical="top" wrapText="1"/>
      <protection locked="0"/>
    </xf>
    <xf numFmtId="0" fontId="26" fillId="0" borderId="22" xfId="0" applyFont="1" applyFill="1" applyBorder="1" applyProtection="1">
      <protection locked="0"/>
    </xf>
    <xf numFmtId="0" fontId="20" fillId="0" borderId="22" xfId="0" applyFont="1" applyFill="1" applyBorder="1" applyAlignment="1" applyProtection="1">
      <alignment horizontal="center" wrapText="1"/>
      <protection locked="0"/>
    </xf>
    <xf numFmtId="0" fontId="27" fillId="0" borderId="0" xfId="0" applyFont="1" applyFill="1" applyBorder="1" applyProtection="1">
      <protection locked="0"/>
    </xf>
    <xf numFmtId="0" fontId="0" fillId="0" borderId="25" xfId="0" applyBorder="1" applyProtection="1">
      <protection locked="0"/>
    </xf>
    <xf numFmtId="0" fontId="18" fillId="0" borderId="0" xfId="0" applyFont="1" applyFill="1" applyBorder="1" applyAlignment="1" applyProtection="1">
      <protection locked="0"/>
    </xf>
    <xf numFmtId="0" fontId="20" fillId="0" borderId="19" xfId="0" applyFont="1" applyFill="1" applyBorder="1" applyAlignment="1" applyProtection="1">
      <alignment horizontal="center" vertical="center" wrapText="1"/>
      <protection locked="0"/>
    </xf>
    <xf numFmtId="0" fontId="20" fillId="0" borderId="4" xfId="0" applyFont="1" applyFill="1" applyBorder="1" applyAlignment="1" applyProtection="1">
      <alignment horizontal="left" vertical="center"/>
      <protection locked="0"/>
    </xf>
    <xf numFmtId="0" fontId="20" fillId="0" borderId="20" xfId="0" applyFont="1" applyFill="1" applyBorder="1" applyAlignment="1" applyProtection="1">
      <alignment horizontal="left" vertical="center"/>
      <protection locked="0"/>
    </xf>
    <xf numFmtId="164" fontId="29" fillId="2" borderId="18" xfId="0" applyNumberFormat="1" applyFont="1" applyFill="1" applyBorder="1" applyAlignment="1" applyProtection="1">
      <alignment horizontal="right" wrapText="1"/>
      <protection locked="0"/>
    </xf>
    <xf numFmtId="164" fontId="29" fillId="2" borderId="3" xfId="0" applyNumberFormat="1" applyFont="1" applyFill="1" applyBorder="1" applyAlignment="1" applyProtection="1">
      <alignment horizontal="right" wrapText="1"/>
      <protection locked="0"/>
    </xf>
    <xf numFmtId="164" fontId="29" fillId="2" borderId="16" xfId="0" applyNumberFormat="1" applyFont="1" applyFill="1" applyBorder="1" applyAlignment="1" applyProtection="1">
      <alignment horizontal="right" wrapText="1"/>
      <protection locked="0"/>
    </xf>
    <xf numFmtId="164" fontId="29" fillId="2" borderId="4" xfId="0" applyNumberFormat="1" applyFont="1" applyFill="1" applyBorder="1" applyAlignment="1" applyProtection="1">
      <alignment horizontal="right" wrapText="1"/>
      <protection locked="0"/>
    </xf>
    <xf numFmtId="0" fontId="20" fillId="0" borderId="5" xfId="0" applyFont="1" applyFill="1" applyBorder="1" applyAlignment="1" applyProtection="1">
      <alignment horizontal="right" vertical="center"/>
      <protection locked="0"/>
    </xf>
    <xf numFmtId="164" fontId="29" fillId="2" borderId="4" xfId="0" applyNumberFormat="1" applyFont="1" applyFill="1" applyBorder="1" applyAlignment="1" applyProtection="1">
      <protection locked="0"/>
    </xf>
    <xf numFmtId="164" fontId="29" fillId="2" borderId="16" xfId="0" applyNumberFormat="1" applyFont="1" applyFill="1" applyBorder="1" applyAlignment="1" applyProtection="1">
      <protection locked="0"/>
    </xf>
    <xf numFmtId="0" fontId="20" fillId="2" borderId="4" xfId="0" applyFont="1" applyFill="1" applyBorder="1" applyAlignment="1" applyProtection="1">
      <alignment horizontal="left" vertical="center"/>
      <protection locked="0"/>
    </xf>
    <xf numFmtId="0" fontId="20" fillId="2" borderId="20" xfId="0" applyFont="1" applyFill="1" applyBorder="1" applyAlignment="1" applyProtection="1">
      <alignment wrapText="1"/>
      <protection locked="0"/>
    </xf>
    <xf numFmtId="0" fontId="20" fillId="2" borderId="16" xfId="0" applyFont="1" applyFill="1" applyBorder="1" applyAlignment="1" applyProtection="1">
      <alignment wrapText="1"/>
      <protection locked="0"/>
    </xf>
    <xf numFmtId="164" fontId="20" fillId="2" borderId="4" xfId="0" applyNumberFormat="1" applyFont="1" applyFill="1" applyBorder="1" applyAlignment="1" applyProtection="1">
      <alignment horizontal="right"/>
      <protection locked="0"/>
    </xf>
    <xf numFmtId="0" fontId="12" fillId="0" borderId="20" xfId="0" applyFont="1" applyBorder="1" applyAlignment="1" applyProtection="1">
      <alignment horizontal="center"/>
      <protection locked="0"/>
    </xf>
    <xf numFmtId="0" fontId="12" fillId="0" borderId="4" xfId="0" applyFont="1" applyFill="1" applyBorder="1" applyAlignment="1" applyProtection="1">
      <alignment horizontal="center" vertical="center"/>
      <protection locked="0"/>
    </xf>
    <xf numFmtId="0" fontId="20" fillId="0" borderId="21" xfId="0" applyFont="1" applyFill="1" applyBorder="1" applyAlignment="1" applyProtection="1">
      <alignment horizontal="center" vertical="center"/>
      <protection locked="0"/>
    </xf>
    <xf numFmtId="9" fontId="20" fillId="0" borderId="24" xfId="1" applyFont="1" applyFill="1" applyBorder="1" applyAlignment="1" applyProtection="1">
      <alignment horizontal="center" vertical="center" wrapText="1"/>
      <protection locked="0"/>
    </xf>
    <xf numFmtId="0" fontId="18" fillId="2" borderId="20" xfId="0" applyNumberFormat="1" applyFont="1" applyFill="1" applyBorder="1" applyAlignment="1" applyProtection="1">
      <alignment horizontal="center"/>
      <protection locked="0"/>
    </xf>
    <xf numFmtId="164" fontId="2" fillId="2" borderId="4" xfId="0" applyNumberFormat="1" applyFont="1" applyFill="1" applyBorder="1" applyProtection="1">
      <protection locked="0"/>
    </xf>
    <xf numFmtId="0" fontId="18" fillId="2" borderId="4" xfId="0" applyFont="1" applyFill="1" applyBorder="1" applyAlignment="1" applyProtection="1">
      <alignment wrapText="1"/>
      <protection locked="0"/>
    </xf>
    <xf numFmtId="14" fontId="18" fillId="2" borderId="4" xfId="0" applyNumberFormat="1" applyFont="1" applyFill="1" applyBorder="1" applyProtection="1">
      <protection locked="0"/>
    </xf>
    <xf numFmtId="0" fontId="27" fillId="0" borderId="4" xfId="0" applyFont="1" applyFill="1" applyBorder="1" applyAlignment="1" applyProtection="1">
      <alignment horizontal="center"/>
      <protection locked="0"/>
    </xf>
    <xf numFmtId="0" fontId="27" fillId="2" borderId="20" xfId="0" applyNumberFormat="1" applyFont="1" applyFill="1" applyBorder="1" applyAlignment="1" applyProtection="1">
      <alignment horizontal="center"/>
      <protection locked="0"/>
    </xf>
    <xf numFmtId="0" fontId="27" fillId="2" borderId="4" xfId="0" applyFont="1" applyFill="1" applyBorder="1" applyAlignment="1" applyProtection="1">
      <alignment wrapText="1"/>
      <protection locked="0"/>
    </xf>
    <xf numFmtId="14" fontId="27" fillId="2" borderId="4" xfId="0" applyNumberFormat="1" applyFont="1" applyFill="1" applyBorder="1" applyProtection="1">
      <protection locked="0"/>
    </xf>
    <xf numFmtId="14" fontId="18" fillId="7" borderId="4" xfId="0" applyNumberFormat="1" applyFont="1" applyFill="1" applyBorder="1" applyProtection="1"/>
    <xf numFmtId="0" fontId="25" fillId="0" borderId="0" xfId="0" applyFont="1" applyFill="1" applyBorder="1" applyAlignment="1" applyProtection="1">
      <alignment vertical="center"/>
      <protection locked="0"/>
    </xf>
    <xf numFmtId="14" fontId="29" fillId="2" borderId="4" xfId="0" applyNumberFormat="1" applyFont="1" applyFill="1" applyBorder="1" applyAlignment="1" applyProtection="1">
      <alignment horizontal="center"/>
      <protection locked="0"/>
    </xf>
    <xf numFmtId="164" fontId="18" fillId="2" borderId="3" xfId="0" applyNumberFormat="1" applyFont="1" applyFill="1" applyBorder="1" applyProtection="1">
      <protection locked="0"/>
    </xf>
    <xf numFmtId="164" fontId="18" fillId="2" borderId="18" xfId="0" applyNumberFormat="1" applyFont="1" applyFill="1" applyBorder="1" applyProtection="1">
      <protection locked="0"/>
    </xf>
    <xf numFmtId="0" fontId="12" fillId="0" borderId="16" xfId="0" applyFont="1" applyBorder="1" applyAlignment="1" applyProtection="1">
      <alignment horizontal="center"/>
      <protection locked="0"/>
    </xf>
    <xf numFmtId="9" fontId="20" fillId="0" borderId="4" xfId="1" applyFont="1" applyFill="1" applyBorder="1" applyAlignment="1" applyProtection="1">
      <alignment horizontal="center" vertical="center" wrapText="1"/>
      <protection locked="0"/>
    </xf>
    <xf numFmtId="0" fontId="20" fillId="0" borderId="19" xfId="1" applyNumberFormat="1" applyFont="1" applyFill="1" applyBorder="1" applyAlignment="1" applyProtection="1">
      <alignment horizontal="center" vertical="center" wrapText="1"/>
      <protection locked="0"/>
    </xf>
    <xf numFmtId="0" fontId="20" fillId="0" borderId="21" xfId="1" applyNumberFormat="1" applyFont="1" applyFill="1" applyBorder="1" applyAlignment="1" applyProtection="1">
      <alignment horizontal="center" vertical="center" wrapText="1"/>
      <protection locked="0"/>
    </xf>
    <xf numFmtId="0" fontId="18" fillId="0" borderId="4" xfId="0" applyNumberFormat="1" applyFont="1" applyBorder="1" applyAlignment="1" applyProtection="1">
      <alignment horizontal="center"/>
      <protection locked="0"/>
    </xf>
    <xf numFmtId="0" fontId="18" fillId="0" borderId="20" xfId="0" applyFont="1" applyFill="1" applyBorder="1" applyProtection="1">
      <protection locked="0"/>
    </xf>
    <xf numFmtId="164" fontId="18" fillId="2" borderId="16" xfId="0" applyNumberFormat="1" applyFont="1" applyFill="1" applyBorder="1" applyProtection="1">
      <protection locked="0"/>
    </xf>
    <xf numFmtId="0" fontId="29" fillId="2" borderId="4" xfId="0" applyFont="1" applyFill="1" applyBorder="1" applyAlignment="1" applyProtection="1">
      <alignment horizontal="left"/>
      <protection locked="0"/>
    </xf>
    <xf numFmtId="0" fontId="20" fillId="2" borderId="4" xfId="0" applyFont="1" applyFill="1" applyBorder="1" applyAlignment="1" applyProtection="1">
      <alignment horizontal="left"/>
      <protection locked="0"/>
    </xf>
    <xf numFmtId="0" fontId="26" fillId="0" borderId="22" xfId="0" applyFont="1" applyBorder="1" applyAlignment="1" applyProtection="1">
      <alignment horizontal="left"/>
      <protection locked="0"/>
    </xf>
    <xf numFmtId="164" fontId="1" fillId="7" borderId="4" xfId="0" applyNumberFormat="1" applyFont="1" applyFill="1" applyBorder="1" applyAlignment="1" applyProtection="1">
      <alignment horizontal="center"/>
      <protection locked="0"/>
    </xf>
    <xf numFmtId="0" fontId="27" fillId="0" borderId="4" xfId="0" applyFont="1" applyBorder="1" applyAlignment="1" applyProtection="1">
      <alignment horizontal="center"/>
      <protection locked="0"/>
    </xf>
    <xf numFmtId="0" fontId="12" fillId="0" borderId="21" xfId="0" applyFont="1" applyBorder="1" applyAlignment="1" applyProtection="1">
      <alignment horizontal="center"/>
      <protection locked="0"/>
    </xf>
    <xf numFmtId="0" fontId="18" fillId="0" borderId="21" xfId="0" applyFont="1" applyBorder="1" applyAlignment="1" applyProtection="1">
      <alignment horizontal="center"/>
      <protection locked="0"/>
    </xf>
    <xf numFmtId="165" fontId="18" fillId="0" borderId="21" xfId="0" applyNumberFormat="1" applyFont="1" applyFill="1" applyBorder="1" applyAlignment="1" applyProtection="1">
      <alignment horizontal="center"/>
      <protection locked="0"/>
    </xf>
    <xf numFmtId="165" fontId="18" fillId="7" borderId="4" xfId="0" applyNumberFormat="1" applyFont="1" applyFill="1" applyBorder="1" applyAlignment="1" applyProtection="1">
      <alignment horizontal="center"/>
    </xf>
    <xf numFmtId="0" fontId="12" fillId="7" borderId="4" xfId="0" applyFont="1" applyFill="1" applyBorder="1" applyAlignment="1" applyProtection="1">
      <alignment horizontal="center"/>
    </xf>
    <xf numFmtId="164" fontId="12" fillId="7" borderId="4" xfId="0" applyNumberFormat="1" applyFont="1" applyFill="1" applyBorder="1" applyAlignment="1" applyProtection="1">
      <alignment horizontal="center"/>
    </xf>
    <xf numFmtId="0" fontId="1" fillId="7" borderId="4" xfId="0" applyFont="1" applyFill="1" applyBorder="1" applyAlignment="1" applyProtection="1">
      <alignment wrapText="1"/>
    </xf>
    <xf numFmtId="0" fontId="25" fillId="0" borderId="0" xfId="0" applyFont="1" applyFill="1" applyBorder="1" applyAlignment="1" applyProtection="1">
      <alignment horizontal="left" vertical="center"/>
      <protection locked="0"/>
    </xf>
    <xf numFmtId="0" fontId="25" fillId="0" borderId="22" xfId="0" applyFont="1" applyFill="1" applyBorder="1" applyAlignment="1" applyProtection="1">
      <protection locked="0"/>
    </xf>
    <xf numFmtId="0" fontId="18" fillId="0" borderId="0" xfId="0" applyFont="1" applyBorder="1" applyAlignment="1" applyProtection="1">
      <alignment horizontal="center" vertical="center"/>
      <protection locked="0"/>
    </xf>
    <xf numFmtId="164" fontId="29" fillId="2" borderId="16" xfId="0" applyNumberFormat="1" applyFont="1" applyFill="1" applyBorder="1" applyProtection="1">
      <protection locked="0"/>
    </xf>
    <xf numFmtId="165" fontId="1" fillId="7" borderId="4" xfId="0" applyNumberFormat="1" applyFont="1" applyFill="1" applyBorder="1" applyAlignment="1" applyProtection="1">
      <alignment horizontal="center"/>
    </xf>
    <xf numFmtId="0" fontId="29" fillId="7" borderId="4" xfId="0" applyFont="1" applyFill="1" applyBorder="1" applyAlignment="1" applyProtection="1">
      <alignment horizontal="center"/>
    </xf>
    <xf numFmtId="164" fontId="29" fillId="7" borderId="4" xfId="0" applyNumberFormat="1" applyFont="1" applyFill="1" applyBorder="1" applyProtection="1"/>
    <xf numFmtId="165" fontId="12" fillId="7" borderId="4" xfId="0" applyNumberFormat="1" applyFont="1" applyFill="1" applyBorder="1" applyAlignment="1" applyProtection="1">
      <alignment horizontal="center"/>
    </xf>
    <xf numFmtId="0" fontId="27" fillId="0" borderId="4" xfId="0" applyFont="1" applyBorder="1" applyAlignment="1" applyProtection="1">
      <alignment horizontal="center" wrapText="1"/>
      <protection locked="0"/>
    </xf>
    <xf numFmtId="0" fontId="13" fillId="0" borderId="20" xfId="0" applyFont="1" applyBorder="1" applyAlignment="1" applyProtection="1">
      <alignment horizontal="center"/>
      <protection locked="0"/>
    </xf>
    <xf numFmtId="0" fontId="18" fillId="0" borderId="20" xfId="0" applyFont="1" applyBorder="1" applyAlignment="1" applyProtection="1">
      <alignment horizontal="center"/>
      <protection locked="0"/>
    </xf>
    <xf numFmtId="0" fontId="12" fillId="7" borderId="20" xfId="0" applyFont="1" applyFill="1" applyBorder="1" applyAlignment="1" applyProtection="1">
      <alignment horizontal="center" wrapText="1"/>
    </xf>
  </cellXfs>
  <cellStyles count="11">
    <cellStyle name="Currency" xfId="7" builtinId="4"/>
    <cellStyle name="Hyperlink" xfId="4" builtinId="8"/>
    <cellStyle name="Input" xfId="8" builtinId="20"/>
    <cellStyle name="Normal" xfId="0" builtinId="0"/>
    <cellStyle name="Normal 2" xfId="2" xr:uid="{00000000-0005-0000-0000-000004000000}"/>
    <cellStyle name="Normal 2 2" xfId="5" xr:uid="{00000000-0005-0000-0000-000005000000}"/>
    <cellStyle name="Normal 3" xfId="3" xr:uid="{00000000-0005-0000-0000-000006000000}"/>
    <cellStyle name="Normal 4" xfId="9" xr:uid="{26EFB958-A1DF-49F9-A426-5C889059C6A0}"/>
    <cellStyle name="Normal 4 2" xfId="10" xr:uid="{B9E900EA-53BD-465C-BF15-E4E5BCC335D7}"/>
    <cellStyle name="Normal 6" xfId="6" xr:uid="{00000000-0005-0000-0000-000007000000}"/>
    <cellStyle name="Percent" xfId="1" builtinId="5"/>
  </cellStyles>
  <dxfs count="4">
    <dxf>
      <font>
        <color theme="9" tint="-0.24994659260841701"/>
      </font>
      <fill>
        <patternFill>
          <bgColor theme="9" tint="0.79998168889431442"/>
        </patternFill>
      </fill>
    </dxf>
    <dxf>
      <font>
        <color theme="0"/>
      </font>
      <fill>
        <patternFill>
          <bgColor rgb="FFFF0000"/>
        </patternFill>
      </fill>
    </dxf>
    <dxf>
      <font>
        <color theme="9" tint="-0.24994659260841701"/>
      </font>
      <fill>
        <patternFill>
          <bgColor theme="9" tint="0.79998168889431442"/>
        </patternFill>
      </fill>
    </dxf>
    <dxf>
      <font>
        <color theme="0"/>
      </font>
      <fill>
        <patternFill>
          <bgColor rgb="FFFF0000"/>
        </patternFill>
      </fill>
    </dxf>
  </dxfs>
  <tableStyles count="0" defaultTableStyle="TableStyleMedium2" defaultPivotStyle="PivotStyleLight16"/>
  <colors>
    <mruColors>
      <color rgb="FFDEEBF7"/>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 Id="rId30"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printerSettings" Target="../printerSettings/printerSettings4.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printerSettings" Target="../printerSettings/printerSettings25.bin"/><Relationship Id="rId1" Type="http://schemas.openxmlformats.org/officeDocument/2006/relationships/printerSettings" Target="../printerSettings/printerSettings24.bin"/><Relationship Id="rId4" Type="http://schemas.openxmlformats.org/officeDocument/2006/relationships/printerSettings" Target="../printerSettings/printerSettings27.bin"/></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30.bin"/><Relationship Id="rId2" Type="http://schemas.openxmlformats.org/officeDocument/2006/relationships/printerSettings" Target="../printerSettings/printerSettings29.bin"/><Relationship Id="rId1" Type="http://schemas.openxmlformats.org/officeDocument/2006/relationships/printerSettings" Target="../printerSettings/printerSettings28.bin"/><Relationship Id="rId4" Type="http://schemas.openxmlformats.org/officeDocument/2006/relationships/printerSettings" Target="../printerSettings/printerSettings31.bin"/></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34.bin"/><Relationship Id="rId2" Type="http://schemas.openxmlformats.org/officeDocument/2006/relationships/printerSettings" Target="../printerSettings/printerSettings33.bin"/><Relationship Id="rId1" Type="http://schemas.openxmlformats.org/officeDocument/2006/relationships/printerSettings" Target="../printerSettings/printerSettings32.bin"/><Relationship Id="rId4" Type="http://schemas.openxmlformats.org/officeDocument/2006/relationships/printerSettings" Target="../printerSettings/printerSettings35.bin"/></Relationships>
</file>

<file path=xl/worksheets/_rels/sheet17.xml.rels><?xml version="1.0" encoding="UTF-8" standalone="yes"?>
<Relationships xmlns="http://schemas.openxmlformats.org/package/2006/relationships"><Relationship Id="rId3" Type="http://schemas.openxmlformats.org/officeDocument/2006/relationships/printerSettings" Target="../printerSettings/printerSettings38.bin"/><Relationship Id="rId2" Type="http://schemas.openxmlformats.org/officeDocument/2006/relationships/printerSettings" Target="../printerSettings/printerSettings37.bin"/><Relationship Id="rId1" Type="http://schemas.openxmlformats.org/officeDocument/2006/relationships/printerSettings" Target="../printerSettings/printerSettings36.bin"/><Relationship Id="rId4" Type="http://schemas.openxmlformats.org/officeDocument/2006/relationships/printerSettings" Target="../printerSettings/printerSettings39.bin"/></Relationships>
</file>

<file path=xl/worksheets/_rels/sheet19.xml.rels><?xml version="1.0" encoding="UTF-8" standalone="yes"?>
<Relationships xmlns="http://schemas.openxmlformats.org/package/2006/relationships"><Relationship Id="rId3" Type="http://schemas.openxmlformats.org/officeDocument/2006/relationships/printerSettings" Target="../printerSettings/printerSettings42.bin"/><Relationship Id="rId2" Type="http://schemas.openxmlformats.org/officeDocument/2006/relationships/printerSettings" Target="../printerSettings/printerSettings41.bin"/><Relationship Id="rId1" Type="http://schemas.openxmlformats.org/officeDocument/2006/relationships/printerSettings" Target="../printerSettings/printerSettings40.bin"/><Relationship Id="rId4" Type="http://schemas.openxmlformats.org/officeDocument/2006/relationships/printerSettings" Target="../printerSettings/printerSettings43.bin"/></Relationships>
</file>

<file path=xl/worksheets/_rels/sheet2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46.bin"/><Relationship Id="rId2" Type="http://schemas.openxmlformats.org/officeDocument/2006/relationships/printerSettings" Target="../printerSettings/printerSettings45.bin"/><Relationship Id="rId1" Type="http://schemas.openxmlformats.org/officeDocument/2006/relationships/printerSettings" Target="../printerSettings/printerSettings44.bin"/><Relationship Id="rId4" Type="http://schemas.openxmlformats.org/officeDocument/2006/relationships/printerSettings" Target="../printerSettings/printerSettings47.bin"/></Relationships>
</file>

<file path=xl/worksheets/_rels/sheet23.xml.rels><?xml version="1.0" encoding="UTF-8" standalone="yes"?>
<Relationships xmlns="http://schemas.openxmlformats.org/package/2006/relationships"><Relationship Id="rId3" Type="http://schemas.openxmlformats.org/officeDocument/2006/relationships/printerSettings" Target="../printerSettings/printerSettings50.bin"/><Relationship Id="rId2" Type="http://schemas.openxmlformats.org/officeDocument/2006/relationships/printerSettings" Target="../printerSettings/printerSettings49.bin"/><Relationship Id="rId1" Type="http://schemas.openxmlformats.org/officeDocument/2006/relationships/printerSettings" Target="../printerSettings/printerSettings48.bin"/><Relationship Id="rId4" Type="http://schemas.openxmlformats.org/officeDocument/2006/relationships/printerSettings" Target="../printerSettings/printerSettings51.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4" Type="http://schemas.openxmlformats.org/officeDocument/2006/relationships/printerSettings" Target="../printerSettings/printerSettings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 Id="rId4" Type="http://schemas.openxmlformats.org/officeDocument/2006/relationships/printerSettings" Target="../printerSettings/printerSettings1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17.bin"/><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 Id="rId4" Type="http://schemas.openxmlformats.org/officeDocument/2006/relationships/printerSettings" Target="../printerSettings/printerSettings1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22.bin"/><Relationship Id="rId2" Type="http://schemas.openxmlformats.org/officeDocument/2006/relationships/printerSettings" Target="../printerSettings/printerSettings21.bin"/><Relationship Id="rId1" Type="http://schemas.openxmlformats.org/officeDocument/2006/relationships/printerSettings" Target="../printerSettings/printerSettings20.bin"/><Relationship Id="rId4" Type="http://schemas.openxmlformats.org/officeDocument/2006/relationships/printerSettings" Target="../printerSettings/printerSettings2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autoPageBreaks="0"/>
  </sheetPr>
  <dimension ref="A1:I1048576"/>
  <sheetViews>
    <sheetView showGridLines="0" zoomScaleNormal="100" workbookViewId="0">
      <selection activeCell="E1" sqref="E1"/>
    </sheetView>
  </sheetViews>
  <sheetFormatPr defaultColWidth="0" defaultRowHeight="15" zeroHeight="1" x14ac:dyDescent="0.25"/>
  <cols>
    <col min="1" max="1" width="2.6640625" style="17" customWidth="1"/>
    <col min="2" max="2" width="6.6640625" style="17" customWidth="1"/>
    <col min="3" max="4" width="50.6640625" style="17" customWidth="1"/>
    <col min="5" max="5" width="9.109375" style="17" customWidth="1"/>
    <col min="6" max="7" width="9.109375" style="17" hidden="1" customWidth="1"/>
    <col min="8" max="9" width="11.5546875" style="17" hidden="1" customWidth="1"/>
    <col min="10" max="16384" width="11.5546875" style="205" hidden="1"/>
  </cols>
  <sheetData>
    <row r="1" spans="1:5" x14ac:dyDescent="0.25">
      <c r="A1" s="262" t="s">
        <v>748</v>
      </c>
      <c r="B1" s="263" t="s">
        <v>270</v>
      </c>
      <c r="C1" s="19"/>
      <c r="D1" s="19"/>
      <c r="E1" s="265" t="s">
        <v>268</v>
      </c>
    </row>
    <row r="2" spans="1:5" ht="15.6" thickBot="1" x14ac:dyDescent="0.3">
      <c r="B2" s="266" t="s">
        <v>269</v>
      </c>
      <c r="C2" s="127"/>
      <c r="D2" s="127"/>
      <c r="E2" s="128"/>
    </row>
    <row r="3" spans="1:5" x14ac:dyDescent="0.25">
      <c r="B3" s="99"/>
      <c r="E3" s="122"/>
    </row>
    <row r="4" spans="1:5" ht="15.6" x14ac:dyDescent="0.25">
      <c r="B4" s="270" t="s">
        <v>780</v>
      </c>
      <c r="C4" s="1"/>
      <c r="D4" s="1"/>
    </row>
    <row r="5" spans="1:5" ht="17.399999999999999" x14ac:dyDescent="0.25">
      <c r="B5" s="271" t="s">
        <v>274</v>
      </c>
      <c r="C5" s="1"/>
      <c r="D5" s="1"/>
    </row>
    <row r="6" spans="1:5" ht="17.399999999999999" x14ac:dyDescent="0.25">
      <c r="B6" s="271" t="str">
        <f>"Fiscal Year: "&amp;D10</f>
        <v>Fiscal Year: 2023-24</v>
      </c>
      <c r="C6" s="1"/>
      <c r="D6" s="1"/>
    </row>
    <row r="7" spans="1:5" ht="17.399999999999999" x14ac:dyDescent="0.25">
      <c r="B7" s="271" t="s">
        <v>275</v>
      </c>
      <c r="C7" s="1"/>
      <c r="D7" s="1"/>
      <c r="E7" s="19"/>
    </row>
    <row r="8" spans="1:5" x14ac:dyDescent="0.25">
      <c r="D8" s="19"/>
    </row>
    <row r="9" spans="1:5" ht="34.5" customHeight="1" x14ac:dyDescent="0.25">
      <c r="B9" s="272">
        <v>1</v>
      </c>
      <c r="C9" s="273" t="s">
        <v>1</v>
      </c>
      <c r="D9" s="176">
        <v>45684</v>
      </c>
    </row>
    <row r="10" spans="1:5" ht="34.5" customHeight="1" x14ac:dyDescent="0.25">
      <c r="B10" s="272">
        <v>2</v>
      </c>
      <c r="C10" s="274" t="s">
        <v>295</v>
      </c>
      <c r="D10" s="252" t="s">
        <v>790</v>
      </c>
    </row>
    <row r="11" spans="1:5" ht="34.5" customHeight="1" x14ac:dyDescent="0.25">
      <c r="B11" s="272">
        <v>3</v>
      </c>
      <c r="C11" s="275" t="s">
        <v>0</v>
      </c>
      <c r="D11" s="177" t="s">
        <v>54</v>
      </c>
    </row>
    <row r="12" spans="1:5" ht="34.5" customHeight="1" x14ac:dyDescent="0.25">
      <c r="B12" s="272">
        <v>4</v>
      </c>
      <c r="C12" s="275" t="s">
        <v>110</v>
      </c>
      <c r="D12" s="276">
        <f>IF(ISBLANK(D11),"",VLOOKUP(D11,Info_County_Code,2))</f>
        <v>21</v>
      </c>
    </row>
    <row r="13" spans="1:5" ht="34.5" customHeight="1" x14ac:dyDescent="0.25">
      <c r="B13" s="272">
        <v>5</v>
      </c>
      <c r="C13" s="275" t="s">
        <v>111</v>
      </c>
      <c r="D13" s="178" t="s">
        <v>791</v>
      </c>
    </row>
    <row r="14" spans="1:5" ht="34.5" customHeight="1" x14ac:dyDescent="0.25">
      <c r="B14" s="272">
        <v>6</v>
      </c>
      <c r="C14" s="275" t="s">
        <v>112</v>
      </c>
      <c r="D14" s="179" t="s">
        <v>792</v>
      </c>
    </row>
    <row r="15" spans="1:5" ht="34.5" customHeight="1" x14ac:dyDescent="0.25">
      <c r="B15" s="272">
        <v>7</v>
      </c>
      <c r="C15" s="275" t="s">
        <v>113</v>
      </c>
      <c r="D15" s="180">
        <v>94903</v>
      </c>
    </row>
    <row r="16" spans="1:5" ht="34.5" customHeight="1" x14ac:dyDescent="0.25">
      <c r="B16" s="272">
        <v>8</v>
      </c>
      <c r="C16" s="277" t="s">
        <v>159</v>
      </c>
      <c r="D16" s="278" t="str">
        <f>IF(ISBLANK(D11),"",VLOOKUP(D11,County_Population,5,FALSE))</f>
        <v>Yes</v>
      </c>
    </row>
    <row r="17" spans="2:4" ht="34.5" customHeight="1" x14ac:dyDescent="0.25">
      <c r="B17" s="272">
        <v>9</v>
      </c>
      <c r="C17" s="275" t="s">
        <v>109</v>
      </c>
      <c r="D17" s="179" t="s">
        <v>793</v>
      </c>
    </row>
    <row r="18" spans="2:4" ht="34.5" customHeight="1" x14ac:dyDescent="0.25">
      <c r="B18" s="272">
        <v>10</v>
      </c>
      <c r="C18" s="279" t="s">
        <v>164</v>
      </c>
      <c r="D18" s="181" t="s">
        <v>794</v>
      </c>
    </row>
    <row r="19" spans="2:4" ht="34.5" customHeight="1" x14ac:dyDescent="0.25">
      <c r="B19" s="272">
        <v>11</v>
      </c>
      <c r="C19" s="279" t="s">
        <v>181</v>
      </c>
      <c r="D19" s="181" t="s">
        <v>795</v>
      </c>
    </row>
    <row r="20" spans="2:4" ht="34.5" customHeight="1" x14ac:dyDescent="0.25">
      <c r="B20" s="272">
        <v>12</v>
      </c>
      <c r="C20" s="273" t="s">
        <v>273</v>
      </c>
      <c r="D20" s="182" t="s">
        <v>796</v>
      </c>
    </row>
    <row r="1048576" spans="4:4" hidden="1" x14ac:dyDescent="0.25">
      <c r="D1048576" s="208"/>
    </row>
  </sheetData>
  <sheetProtection algorithmName="SHA-512" hashValue="2NQPoD3bfXNObB/FZGSVPDKcsrKwAuoUKSb+69UNZpI4aGfxQM5LfKiJtd8TPugKM9BTSzqLcrMa7LQJvrj3Sw==" saltValue="CuyPgAAY4LS7oDviLVESNQ==" spinCount="100000" sheet="1" objects="1" scenarios="1" selectLockedCells="1"/>
  <customSheetViews>
    <customSheetView guid="{E7E6A24F-BA49-4C7A-9CED-3AB8F60308A1}" showGridLines="0" printArea="1" topLeftCell="A3">
      <selection activeCell="F20" sqref="F20"/>
      <pageMargins left="0.25" right="0.25" top="0.75" bottom="0.75" header="0.3" footer="0.3"/>
      <pageSetup paperSize="5" scale="91" orientation="landscape" r:id="rId1"/>
      <headerFooter>
        <oddFooter>&amp;C&amp;"Arial,Regular"&amp;14Page &amp;P of &amp;N</oddFooter>
      </headerFooter>
    </customSheetView>
    <customSheetView guid="{7E50CCF5-45D0-4F7B-8896-9BA64DCA8A01}" showGridLines="0">
      <selection activeCell="I20" sqref="I20"/>
      <pageMargins left="0.25" right="0.25" top="0.75" bottom="0.75" header="0.3" footer="0.3"/>
      <pageSetup paperSize="5" scale="91" orientation="landscape" r:id="rId2"/>
      <headerFooter>
        <oddFooter>&amp;C&amp;"Arial,Regular"&amp;14Page &amp;P of &amp;N</oddFooter>
      </headerFooter>
    </customSheetView>
    <customSheetView guid="{D8D3A042-2CA2-4641-BB44-BC182917D730}" showGridLines="0" printArea="1">
      <selection activeCell="C10" sqref="C10"/>
      <pageMargins left="0.25" right="0.25" top="0.75" bottom="0.75" header="0.3" footer="0.3"/>
      <pageSetup paperSize="5" scale="91" orientation="landscape" r:id="rId3"/>
      <headerFooter>
        <oddFooter>&amp;C&amp;"Arial,Regular"&amp;14Page &amp;P of &amp;N</oddFooter>
      </headerFooter>
    </customSheetView>
  </customSheetViews>
  <dataValidations xWindow="623" yWindow="688" count="10">
    <dataValidation type="list" allowBlank="1" showInputMessage="1" showErrorMessage="1" prompt="Use the drop down list to select County name." sqref="D11" xr:uid="{00000000-0002-0000-0100-000000000000}">
      <formula1>County</formula1>
    </dataValidation>
    <dataValidation allowBlank="1" showInputMessage="1" showErrorMessage="1" prompt="Type in date. " sqref="D9" xr:uid="{00000000-0002-0000-0100-000001000000}"/>
    <dataValidation allowBlank="1" showInputMessage="1" showErrorMessage="1" prompt="Type in the Fiscal Year of this ARER." sqref="D10" xr:uid="{00000000-0002-0000-0100-000002000000}"/>
    <dataValidation allowBlank="1" showInputMessage="1" showErrorMessage="1" prompt="Type in address." sqref="D13" xr:uid="{00000000-0002-0000-0100-000003000000}"/>
    <dataValidation allowBlank="1" showInputMessage="1" showErrorMessage="1" prompt="Type in city name. " sqref="D14" xr:uid="{00000000-0002-0000-0100-000004000000}"/>
    <dataValidation allowBlank="1" showInputMessage="1" showErrorMessage="1" prompt="Type in zip code. " sqref="D15" xr:uid="{00000000-0002-0000-0100-000005000000}"/>
    <dataValidation allowBlank="1" showInputMessage="1" showErrorMessage="1" prompt="Type in name of preparer." sqref="D17" xr:uid="{00000000-0002-0000-0100-000006000000}"/>
    <dataValidation allowBlank="1" showInputMessage="1" showErrorMessage="1" prompt="Type in title of preparer." sqref="D18" xr:uid="{00000000-0002-0000-0100-000007000000}"/>
    <dataValidation allowBlank="1" showInputMessage="1" showErrorMessage="1" prompt="Type in preparer's contact email. " sqref="D19" xr:uid="{00000000-0002-0000-0100-000008000000}"/>
    <dataValidation allowBlank="1" showInputMessage="1" showErrorMessage="1" prompt="Type in preparer's contact telephone." sqref="D20" xr:uid="{00000000-0002-0000-0100-000009000000}"/>
  </dataValidations>
  <pageMargins left="0.25" right="0.25" top="0.75" bottom="0.75" header="0.3" footer="0.3"/>
  <pageSetup paperSize="5" scale="91" orientation="landscape" r:id="rId4"/>
  <headerFooter>
    <oddFooter>&amp;C&amp;"Arial,Regular"&amp;14Page &amp;P of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121"/>
  <sheetViews>
    <sheetView topLeftCell="A5" workbookViewId="0">
      <selection activeCell="A24" sqref="A24"/>
    </sheetView>
  </sheetViews>
  <sheetFormatPr defaultColWidth="0" defaultRowHeight="14.4" zeroHeight="1" x14ac:dyDescent="0.3"/>
  <cols>
    <col min="1" max="1" width="128" style="197" customWidth="1"/>
    <col min="2" max="2" width="9.109375" style="123" hidden="1" customWidth="1"/>
    <col min="3" max="16384" width="9.109375" style="123" hidden="1"/>
  </cols>
  <sheetData>
    <row r="1" spans="1:1" ht="15.75" customHeight="1" x14ac:dyDescent="0.3">
      <c r="A1" s="223" t="s">
        <v>596</v>
      </c>
    </row>
    <row r="2" spans="1:1" ht="15.6" x14ac:dyDescent="0.3">
      <c r="A2" s="224" t="s">
        <v>305</v>
      </c>
    </row>
    <row r="3" spans="1:1" ht="15.6" x14ac:dyDescent="0.3">
      <c r="A3" s="224" t="s">
        <v>304</v>
      </c>
    </row>
    <row r="4" spans="1:1" ht="15.6" x14ac:dyDescent="0.3">
      <c r="A4" s="224" t="s">
        <v>438</v>
      </c>
    </row>
    <row r="5" spans="1:1" ht="15.6" x14ac:dyDescent="0.3">
      <c r="A5" s="224" t="s">
        <v>439</v>
      </c>
    </row>
    <row r="6" spans="1:1" ht="15.6" x14ac:dyDescent="0.3">
      <c r="A6" s="224" t="s">
        <v>440</v>
      </c>
    </row>
    <row r="7" spans="1:1" ht="15.6" x14ac:dyDescent="0.3">
      <c r="A7" s="224" t="s">
        <v>583</v>
      </c>
    </row>
    <row r="8" spans="1:1" ht="45.6" x14ac:dyDescent="0.3">
      <c r="A8" s="224" t="s">
        <v>441</v>
      </c>
    </row>
    <row r="9" spans="1:1" ht="15.6" x14ac:dyDescent="0.3">
      <c r="A9" s="224" t="s">
        <v>411</v>
      </c>
    </row>
    <row r="10" spans="1:1" ht="120.6" x14ac:dyDescent="0.3">
      <c r="A10" s="224" t="s">
        <v>442</v>
      </c>
    </row>
    <row r="11" spans="1:1" ht="15.6" x14ac:dyDescent="0.3">
      <c r="A11" s="224" t="s">
        <v>443</v>
      </c>
    </row>
    <row r="12" spans="1:1" ht="15.6" x14ac:dyDescent="0.3">
      <c r="A12" s="224" t="s">
        <v>444</v>
      </c>
    </row>
    <row r="13" spans="1:1" ht="15.6" x14ac:dyDescent="0.3">
      <c r="A13" s="224" t="s">
        <v>592</v>
      </c>
    </row>
    <row r="14" spans="1:1" ht="15.6" x14ac:dyDescent="0.3">
      <c r="A14" s="224" t="s">
        <v>445</v>
      </c>
    </row>
    <row r="15" spans="1:1" ht="15.6" x14ac:dyDescent="0.3">
      <c r="A15" s="224" t="s">
        <v>406</v>
      </c>
    </row>
    <row r="16" spans="1:1" ht="30.6" x14ac:dyDescent="0.3">
      <c r="A16" s="224" t="s">
        <v>446</v>
      </c>
    </row>
    <row r="17" spans="1:1" ht="15.6" x14ac:dyDescent="0.3">
      <c r="A17" s="224" t="s">
        <v>318</v>
      </c>
    </row>
    <row r="18" spans="1:1" ht="15.6" x14ac:dyDescent="0.3">
      <c r="A18" s="224" t="s">
        <v>416</v>
      </c>
    </row>
    <row r="19" spans="1:1" ht="15.6" x14ac:dyDescent="0.3">
      <c r="A19" s="224" t="s">
        <v>417</v>
      </c>
    </row>
    <row r="20" spans="1:1" ht="15.6" x14ac:dyDescent="0.3">
      <c r="A20" s="224" t="s">
        <v>418</v>
      </c>
    </row>
    <row r="21" spans="1:1" ht="15.6" x14ac:dyDescent="0.3">
      <c r="A21" s="224" t="s">
        <v>447</v>
      </c>
    </row>
    <row r="22" spans="1:1" ht="45.6" x14ac:dyDescent="0.3">
      <c r="A22" s="224" t="s">
        <v>644</v>
      </c>
    </row>
    <row r="23" spans="1:1" ht="15.6" x14ac:dyDescent="0.3">
      <c r="A23" s="224" t="s">
        <v>433</v>
      </c>
    </row>
    <row r="24" spans="1:1" ht="15.6" x14ac:dyDescent="0.3">
      <c r="A24" s="224" t="s">
        <v>434</v>
      </c>
    </row>
    <row r="25" spans="1:1" ht="15.6" x14ac:dyDescent="0.3">
      <c r="A25" s="224" t="s">
        <v>435</v>
      </c>
    </row>
    <row r="26" spans="1:1" ht="15.6" x14ac:dyDescent="0.3">
      <c r="A26" s="224" t="s">
        <v>436</v>
      </c>
    </row>
    <row r="27" spans="1:1" ht="15.6" x14ac:dyDescent="0.3">
      <c r="A27" s="224" t="s">
        <v>645</v>
      </c>
    </row>
    <row r="28" spans="1:1" ht="30.6" x14ac:dyDescent="0.3">
      <c r="A28" s="225" t="s">
        <v>767</v>
      </c>
    </row>
    <row r="29" spans="1:1" ht="30.6" x14ac:dyDescent="0.3">
      <c r="A29" s="225" t="s">
        <v>768</v>
      </c>
    </row>
    <row r="30" spans="1:1" ht="30.6" x14ac:dyDescent="0.3">
      <c r="A30" s="225" t="s">
        <v>769</v>
      </c>
    </row>
    <row r="31" spans="1:1" ht="30.6" x14ac:dyDescent="0.3">
      <c r="A31" s="225" t="s">
        <v>770</v>
      </c>
    </row>
    <row r="32" spans="1:1" ht="30.6" x14ac:dyDescent="0.3">
      <c r="A32" s="224" t="s">
        <v>646</v>
      </c>
    </row>
    <row r="33" spans="1:1" ht="15.6" x14ac:dyDescent="0.3">
      <c r="A33" s="224" t="s">
        <v>647</v>
      </c>
    </row>
    <row r="34" spans="1:1" ht="30.6" x14ac:dyDescent="0.3">
      <c r="A34" s="225" t="s">
        <v>771</v>
      </c>
    </row>
    <row r="35" spans="1:1" ht="30.6" x14ac:dyDescent="0.3">
      <c r="A35" s="225" t="s">
        <v>772</v>
      </c>
    </row>
    <row r="36" spans="1:1" ht="30.6" x14ac:dyDescent="0.3">
      <c r="A36" s="225" t="s">
        <v>773</v>
      </c>
    </row>
    <row r="37" spans="1:1" ht="30.6" x14ac:dyDescent="0.3">
      <c r="A37" s="225" t="s">
        <v>774</v>
      </c>
    </row>
    <row r="38" spans="1:1" ht="30.6" x14ac:dyDescent="0.3">
      <c r="A38" s="224" t="s">
        <v>648</v>
      </c>
    </row>
    <row r="39" spans="1:1" ht="15.6" x14ac:dyDescent="0.3">
      <c r="A39" s="224" t="s">
        <v>649</v>
      </c>
    </row>
    <row r="40" spans="1:1" ht="30.6" x14ac:dyDescent="0.3">
      <c r="A40" s="225" t="s">
        <v>775</v>
      </c>
    </row>
    <row r="41" spans="1:1" ht="30.6" x14ac:dyDescent="0.3">
      <c r="A41" s="225" t="s">
        <v>776</v>
      </c>
    </row>
    <row r="42" spans="1:1" ht="30.6" x14ac:dyDescent="0.3">
      <c r="A42" s="225" t="s">
        <v>777</v>
      </c>
    </row>
    <row r="43" spans="1:1" ht="30.6" x14ac:dyDescent="0.3">
      <c r="A43" s="225" t="s">
        <v>778</v>
      </c>
    </row>
    <row r="44" spans="1:1" ht="30.6" x14ac:dyDescent="0.3">
      <c r="A44" s="224" t="s">
        <v>650</v>
      </c>
    </row>
    <row r="45" spans="1:1" ht="15.6" x14ac:dyDescent="0.3">
      <c r="A45" s="224" t="s">
        <v>651</v>
      </c>
    </row>
    <row r="46" spans="1:1" ht="15.6" x14ac:dyDescent="0.3">
      <c r="A46" s="224" t="s">
        <v>652</v>
      </c>
    </row>
    <row r="47" spans="1:1" ht="15.6" x14ac:dyDescent="0.3">
      <c r="A47" s="224" t="s">
        <v>653</v>
      </c>
    </row>
    <row r="48" spans="1:1" ht="15.6" x14ac:dyDescent="0.3">
      <c r="A48" s="224" t="s">
        <v>654</v>
      </c>
    </row>
    <row r="49" spans="1:1" ht="15.6" x14ac:dyDescent="0.3">
      <c r="A49" s="224" t="s">
        <v>655</v>
      </c>
    </row>
    <row r="50" spans="1:1" ht="15.6" x14ac:dyDescent="0.3">
      <c r="A50" s="224" t="s">
        <v>656</v>
      </c>
    </row>
    <row r="51" spans="1:1" ht="15.6" x14ac:dyDescent="0.3">
      <c r="A51" s="224" t="s">
        <v>657</v>
      </c>
    </row>
    <row r="52" spans="1:1" ht="15.6" x14ac:dyDescent="0.3">
      <c r="A52" s="224" t="s">
        <v>658</v>
      </c>
    </row>
    <row r="53" spans="1:1" ht="15.6" x14ac:dyDescent="0.3">
      <c r="A53" s="224" t="s">
        <v>659</v>
      </c>
    </row>
    <row r="54" spans="1:1" ht="15.6" x14ac:dyDescent="0.3">
      <c r="A54" s="224" t="s">
        <v>660</v>
      </c>
    </row>
    <row r="55" spans="1:1" ht="15.6" x14ac:dyDescent="0.3">
      <c r="A55" s="224" t="s">
        <v>661</v>
      </c>
    </row>
    <row r="56" spans="1:1" ht="15.6" x14ac:dyDescent="0.3">
      <c r="A56" s="224" t="s">
        <v>662</v>
      </c>
    </row>
    <row r="57" spans="1:1" ht="15.6" x14ac:dyDescent="0.3">
      <c r="A57" s="224" t="s">
        <v>663</v>
      </c>
    </row>
    <row r="58" spans="1:1" ht="45.6" x14ac:dyDescent="0.3">
      <c r="A58" s="224" t="s">
        <v>664</v>
      </c>
    </row>
    <row r="59" spans="1:1" ht="75.599999999999994" x14ac:dyDescent="0.3">
      <c r="A59" s="224" t="s">
        <v>665</v>
      </c>
    </row>
    <row r="60" spans="1:1" ht="75.599999999999994" x14ac:dyDescent="0.3">
      <c r="A60" s="224" t="s">
        <v>666</v>
      </c>
    </row>
    <row r="61" spans="1:1" ht="15.6" x14ac:dyDescent="0.3">
      <c r="A61" s="224" t="s">
        <v>667</v>
      </c>
    </row>
    <row r="62" spans="1:1" ht="45.6" x14ac:dyDescent="0.3">
      <c r="A62" s="224" t="s">
        <v>668</v>
      </c>
    </row>
    <row r="63" spans="1:1" ht="45.6" x14ac:dyDescent="0.3">
      <c r="A63" s="224" t="s">
        <v>669</v>
      </c>
    </row>
    <row r="64" spans="1:1" ht="75.599999999999994" x14ac:dyDescent="0.3">
      <c r="A64" s="224" t="s">
        <v>670</v>
      </c>
    </row>
    <row r="65" spans="1:1" ht="15.6" x14ac:dyDescent="0.3">
      <c r="A65" s="224" t="s">
        <v>671</v>
      </c>
    </row>
    <row r="66" spans="1:1" ht="30.6" x14ac:dyDescent="0.3">
      <c r="A66" s="224" t="s">
        <v>672</v>
      </c>
    </row>
    <row r="67" spans="1:1" ht="45.6" x14ac:dyDescent="0.3">
      <c r="A67" s="219" t="s">
        <v>743</v>
      </c>
    </row>
    <row r="68" spans="1:1" ht="30.6" x14ac:dyDescent="0.3">
      <c r="A68" s="226" t="s">
        <v>721</v>
      </c>
    </row>
    <row r="69" spans="1:1" ht="30.6" x14ac:dyDescent="0.3">
      <c r="A69" s="226" t="s">
        <v>722</v>
      </c>
    </row>
    <row r="70" spans="1:1" ht="30.6" x14ac:dyDescent="0.3">
      <c r="A70" s="226" t="s">
        <v>723</v>
      </c>
    </row>
    <row r="71" spans="1:1" ht="30.6" x14ac:dyDescent="0.3">
      <c r="A71" s="224" t="s">
        <v>673</v>
      </c>
    </row>
    <row r="72" spans="1:1" ht="15.6" x14ac:dyDescent="0.3">
      <c r="A72" s="224" t="s">
        <v>674</v>
      </c>
    </row>
    <row r="73" spans="1:1" ht="45.6" x14ac:dyDescent="0.3">
      <c r="A73" s="224" t="s">
        <v>675</v>
      </c>
    </row>
    <row r="74" spans="1:1" ht="15.6" x14ac:dyDescent="0.3">
      <c r="A74" s="224" t="s">
        <v>688</v>
      </c>
    </row>
    <row r="75" spans="1:1" ht="15.6" x14ac:dyDescent="0.3">
      <c r="A75" s="224" t="s">
        <v>689</v>
      </c>
    </row>
    <row r="76" spans="1:1" ht="15.6" x14ac:dyDescent="0.3">
      <c r="A76" s="224" t="s">
        <v>690</v>
      </c>
    </row>
    <row r="77" spans="1:1" ht="15.6" x14ac:dyDescent="0.3">
      <c r="A77" s="224" t="s">
        <v>691</v>
      </c>
    </row>
    <row r="78" spans="1:1" ht="15.6" x14ac:dyDescent="0.3">
      <c r="A78" s="224" t="s">
        <v>692</v>
      </c>
    </row>
    <row r="79" spans="1:1" ht="15.6" x14ac:dyDescent="0.3">
      <c r="A79" s="224" t="s">
        <v>693</v>
      </c>
    </row>
    <row r="80" spans="1:1" ht="15.6" x14ac:dyDescent="0.3">
      <c r="A80" s="224" t="s">
        <v>676</v>
      </c>
    </row>
    <row r="81" spans="1:1" ht="30.6" x14ac:dyDescent="0.3">
      <c r="A81" s="224" t="s">
        <v>677</v>
      </c>
    </row>
    <row r="82" spans="1:1" ht="45.6" x14ac:dyDescent="0.3">
      <c r="A82" s="215" t="s">
        <v>739</v>
      </c>
    </row>
    <row r="83" spans="1:1" ht="30.6" x14ac:dyDescent="0.3">
      <c r="A83" s="226" t="s">
        <v>724</v>
      </c>
    </row>
    <row r="84" spans="1:1" ht="30.6" x14ac:dyDescent="0.3">
      <c r="A84" s="226" t="s">
        <v>725</v>
      </c>
    </row>
    <row r="85" spans="1:1" ht="30.6" x14ac:dyDescent="0.3">
      <c r="A85" s="226" t="s">
        <v>726</v>
      </c>
    </row>
    <row r="86" spans="1:1" ht="30.6" x14ac:dyDescent="0.3">
      <c r="A86" s="224" t="s">
        <v>678</v>
      </c>
    </row>
    <row r="87" spans="1:1" ht="15.6" x14ac:dyDescent="0.3">
      <c r="A87" s="224" t="s">
        <v>679</v>
      </c>
    </row>
    <row r="88" spans="1:1" ht="45.6" x14ac:dyDescent="0.3">
      <c r="A88" s="224" t="s">
        <v>680</v>
      </c>
    </row>
    <row r="89" spans="1:1" ht="15.6" x14ac:dyDescent="0.3">
      <c r="A89" s="224" t="s">
        <v>694</v>
      </c>
    </row>
    <row r="90" spans="1:1" ht="15.6" x14ac:dyDescent="0.3">
      <c r="A90" s="224" t="s">
        <v>695</v>
      </c>
    </row>
    <row r="91" spans="1:1" ht="15.6" x14ac:dyDescent="0.3">
      <c r="A91" s="224" t="s">
        <v>696</v>
      </c>
    </row>
    <row r="92" spans="1:1" ht="15.6" x14ac:dyDescent="0.3">
      <c r="A92" s="224" t="s">
        <v>697</v>
      </c>
    </row>
    <row r="93" spans="1:1" ht="15.6" x14ac:dyDescent="0.3">
      <c r="A93" s="224" t="s">
        <v>698</v>
      </c>
    </row>
    <row r="94" spans="1:1" ht="15.6" x14ac:dyDescent="0.3">
      <c r="A94" s="224" t="s">
        <v>699</v>
      </c>
    </row>
    <row r="95" spans="1:1" ht="15.6" x14ac:dyDescent="0.3">
      <c r="A95" s="224" t="s">
        <v>681</v>
      </c>
    </row>
    <row r="96" spans="1:1" ht="30.6" x14ac:dyDescent="0.3">
      <c r="A96" s="224" t="s">
        <v>682</v>
      </c>
    </row>
    <row r="97" spans="1:1" ht="45.6" x14ac:dyDescent="0.3">
      <c r="A97" s="215" t="s">
        <v>740</v>
      </c>
    </row>
    <row r="98" spans="1:1" ht="30.6" x14ac:dyDescent="0.3">
      <c r="A98" s="226" t="s">
        <v>727</v>
      </c>
    </row>
    <row r="99" spans="1:1" ht="30.6" x14ac:dyDescent="0.3">
      <c r="A99" s="226" t="s">
        <v>728</v>
      </c>
    </row>
    <row r="100" spans="1:1" ht="30.6" x14ac:dyDescent="0.3">
      <c r="A100" s="226" t="s">
        <v>729</v>
      </c>
    </row>
    <row r="101" spans="1:1" ht="30.6" x14ac:dyDescent="0.3">
      <c r="A101" s="224" t="s">
        <v>683</v>
      </c>
    </row>
    <row r="102" spans="1:1" ht="15.6" x14ac:dyDescent="0.3">
      <c r="A102" s="224" t="s">
        <v>684</v>
      </c>
    </row>
    <row r="103" spans="1:1" ht="45.6" x14ac:dyDescent="0.3">
      <c r="A103" s="224" t="s">
        <v>685</v>
      </c>
    </row>
    <row r="104" spans="1:1" ht="15.6" x14ac:dyDescent="0.3">
      <c r="A104" s="224" t="s">
        <v>700</v>
      </c>
    </row>
    <row r="105" spans="1:1" ht="15.6" x14ac:dyDescent="0.3">
      <c r="A105" s="224" t="s">
        <v>701</v>
      </c>
    </row>
    <row r="106" spans="1:1" ht="15.6" x14ac:dyDescent="0.3">
      <c r="A106" s="224" t="s">
        <v>702</v>
      </c>
    </row>
    <row r="107" spans="1:1" ht="15.6" x14ac:dyDescent="0.3">
      <c r="A107" s="224" t="s">
        <v>703</v>
      </c>
    </row>
    <row r="108" spans="1:1" ht="15.6" x14ac:dyDescent="0.3">
      <c r="A108" s="224" t="s">
        <v>704</v>
      </c>
    </row>
    <row r="109" spans="1:1" ht="15.6" x14ac:dyDescent="0.3">
      <c r="A109" s="224" t="s">
        <v>705</v>
      </c>
    </row>
    <row r="110" spans="1:1" ht="15.6" x14ac:dyDescent="0.3">
      <c r="A110" s="224" t="s">
        <v>686</v>
      </c>
    </row>
    <row r="111" spans="1:1" ht="15.6" x14ac:dyDescent="0.3">
      <c r="A111" s="224" t="s">
        <v>706</v>
      </c>
    </row>
    <row r="112" spans="1:1" ht="15.6" x14ac:dyDescent="0.3">
      <c r="A112" s="224" t="s">
        <v>707</v>
      </c>
    </row>
    <row r="113" spans="1:1" ht="15.6" x14ac:dyDescent="0.3">
      <c r="A113" s="224" t="s">
        <v>708</v>
      </c>
    </row>
    <row r="114" spans="1:1" ht="15.6" x14ac:dyDescent="0.3">
      <c r="A114" s="224" t="s">
        <v>709</v>
      </c>
    </row>
    <row r="115" spans="1:1" ht="15.6" x14ac:dyDescent="0.3">
      <c r="A115" s="224" t="s">
        <v>710</v>
      </c>
    </row>
    <row r="116" spans="1:1" ht="15.6" x14ac:dyDescent="0.3">
      <c r="A116" s="224" t="s">
        <v>711</v>
      </c>
    </row>
    <row r="117" spans="1:1" ht="15.6" x14ac:dyDescent="0.3">
      <c r="A117" s="224" t="s">
        <v>687</v>
      </c>
    </row>
    <row r="118" spans="1:1" ht="15.6" hidden="1" x14ac:dyDescent="0.3">
      <c r="A118" s="196"/>
    </row>
    <row r="119" spans="1:1" ht="15.6" hidden="1" x14ac:dyDescent="0.3">
      <c r="A119" s="196"/>
    </row>
    <row r="121" spans="1:1" s="175" customFormat="1" hidden="1" x14ac:dyDescent="0.3">
      <c r="A121" s="197"/>
    </row>
  </sheetData>
  <sheetProtection algorithmName="SHA-512" hashValue="wvb0IW9evo5RbPdQCh0rcbRCXP/bJ6LSsSv0xETBdZLWaNyrJMqG9+VJlyVvPwf2r+OplbTnimuWhDTQIzxT3A==" saltValue="TY7PmrMLcze2q0eZGWWTYg==" spinCount="100000" sheet="1" objects="1" scenarios="1" selectLockedCells="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pageSetUpPr autoPageBreaks="0"/>
  </sheetPr>
  <dimension ref="A1:V32"/>
  <sheetViews>
    <sheetView showGridLines="0" zoomScale="71" zoomScaleNormal="100" zoomScaleSheetLayoutView="55" workbookViewId="0">
      <selection activeCell="K1" sqref="K1"/>
    </sheetView>
  </sheetViews>
  <sheetFormatPr defaultColWidth="0" defaultRowHeight="15" zeroHeight="1" x14ac:dyDescent="0.25"/>
  <cols>
    <col min="1" max="1" width="2.6640625" style="205" customWidth="1"/>
    <col min="2" max="2" width="6.6640625" style="205" customWidth="1"/>
    <col min="3" max="3" width="11.88671875" style="205" customWidth="1"/>
    <col min="4" max="4" width="42" style="205" customWidth="1"/>
    <col min="5" max="5" width="29.6640625" style="192" customWidth="1"/>
    <col min="6" max="6" width="28.6640625" style="192" bestFit="1" customWidth="1"/>
    <col min="7" max="7" width="22" style="192" customWidth="1"/>
    <col min="8" max="8" width="20.88671875" style="192" bestFit="1" customWidth="1"/>
    <col min="9" max="9" width="19.109375" style="192" customWidth="1"/>
    <col min="10" max="10" width="22.6640625" style="205" customWidth="1"/>
    <col min="11" max="11" width="24.44140625" style="205" customWidth="1"/>
    <col min="12" max="12" width="17.6640625" style="205" hidden="1" customWidth="1"/>
    <col min="13" max="14" width="22.44140625" style="205" hidden="1" customWidth="1"/>
    <col min="15" max="15" width="21" style="205" hidden="1" customWidth="1"/>
    <col min="16" max="16" width="21.33203125" style="205" hidden="1" customWidth="1"/>
    <col min="17" max="17" width="21.109375" style="205" hidden="1" customWidth="1"/>
    <col min="18" max="21" width="22.44140625" style="205" hidden="1" customWidth="1"/>
    <col min="22" max="22" width="19" style="205" hidden="1" customWidth="1"/>
    <col min="23" max="16384" width="9.109375" style="205" hidden="1"/>
  </cols>
  <sheetData>
    <row r="1" spans="1:22" x14ac:dyDescent="0.25">
      <c r="A1" s="262" t="s">
        <v>755</v>
      </c>
      <c r="B1" s="263" t="s">
        <v>270</v>
      </c>
      <c r="C1" s="19"/>
      <c r="D1" s="19"/>
      <c r="E1" s="121"/>
      <c r="F1" s="17"/>
      <c r="G1" s="17"/>
      <c r="H1" s="19"/>
      <c r="I1" s="121"/>
      <c r="J1" s="17"/>
      <c r="K1" s="280" t="s">
        <v>268</v>
      </c>
      <c r="L1" s="121"/>
      <c r="M1" s="19"/>
      <c r="N1" s="19"/>
      <c r="O1" s="17"/>
      <c r="P1" s="17"/>
      <c r="Q1" s="17"/>
      <c r="R1" s="17"/>
      <c r="S1" s="17"/>
      <c r="T1" s="17"/>
      <c r="U1" s="17"/>
      <c r="V1" s="17"/>
    </row>
    <row r="2" spans="1:22" ht="15.6" thickBot="1" x14ac:dyDescent="0.3">
      <c r="A2" s="17"/>
      <c r="B2" s="266" t="s">
        <v>269</v>
      </c>
      <c r="C2" s="127"/>
      <c r="D2" s="127"/>
      <c r="E2" s="128"/>
      <c r="F2" s="127"/>
      <c r="G2" s="127"/>
      <c r="H2" s="127"/>
      <c r="I2" s="128"/>
      <c r="J2" s="127"/>
      <c r="K2" s="128"/>
      <c r="L2" s="121"/>
      <c r="M2" s="19"/>
      <c r="N2" s="19"/>
      <c r="O2" s="17"/>
      <c r="P2" s="17"/>
      <c r="Q2" s="17"/>
      <c r="R2" s="17"/>
      <c r="S2" s="17"/>
      <c r="T2" s="17"/>
      <c r="U2" s="17"/>
      <c r="V2" s="17"/>
    </row>
    <row r="3" spans="1:22" x14ac:dyDescent="0.25">
      <c r="A3" s="19"/>
      <c r="B3" s="8"/>
      <c r="C3" s="8"/>
      <c r="D3" s="8"/>
      <c r="E3" s="19"/>
      <c r="F3" s="19"/>
      <c r="G3" s="19"/>
      <c r="H3" s="19"/>
      <c r="I3" s="19"/>
      <c r="J3" s="19"/>
      <c r="K3" s="19"/>
      <c r="L3" s="19"/>
      <c r="M3" s="19"/>
      <c r="N3" s="19"/>
      <c r="O3" s="19"/>
      <c r="P3" s="19"/>
      <c r="Q3" s="19"/>
      <c r="R3" s="19"/>
      <c r="S3" s="19"/>
      <c r="T3" s="19"/>
      <c r="U3" s="19"/>
      <c r="V3" s="19"/>
    </row>
    <row r="4" spans="1:22" s="269" customFormat="1" x14ac:dyDescent="0.25">
      <c r="A4" s="99"/>
      <c r="B4" s="270" t="s">
        <v>785</v>
      </c>
      <c r="C4" s="99"/>
      <c r="D4" s="99"/>
      <c r="E4" s="99"/>
      <c r="F4" s="99"/>
      <c r="G4" s="99"/>
      <c r="H4" s="99"/>
      <c r="I4" s="99"/>
      <c r="J4" s="99"/>
      <c r="K4" s="99"/>
      <c r="L4" s="99"/>
      <c r="M4" s="99"/>
      <c r="N4" s="99"/>
      <c r="O4" s="99"/>
      <c r="P4" s="99"/>
      <c r="Q4" s="99"/>
      <c r="R4" s="99"/>
      <c r="S4" s="99"/>
      <c r="T4" s="99"/>
      <c r="U4" s="99"/>
      <c r="V4" s="99"/>
    </row>
    <row r="5" spans="1:22" ht="17.399999999999999" x14ac:dyDescent="0.25">
      <c r="A5" s="19"/>
      <c r="B5" s="271" t="str">
        <f>'1. Information'!B5</f>
        <v>Annual Mental Health Services Act (MHSA) Revenue and Expenditure Report</v>
      </c>
      <c r="C5" s="19"/>
      <c r="D5" s="1"/>
      <c r="E5" s="1"/>
      <c r="F5" s="1"/>
      <c r="G5" s="1"/>
      <c r="H5" s="1"/>
      <c r="I5" s="1"/>
      <c r="J5" s="19"/>
      <c r="K5" s="19"/>
      <c r="L5" s="19"/>
      <c r="M5" s="19"/>
      <c r="N5" s="19"/>
      <c r="O5" s="19"/>
      <c r="P5" s="19"/>
      <c r="Q5" s="19"/>
      <c r="R5" s="19"/>
      <c r="S5" s="19"/>
      <c r="T5" s="17"/>
      <c r="U5" s="17"/>
      <c r="V5" s="17"/>
    </row>
    <row r="6" spans="1:22" ht="17.399999999999999" x14ac:dyDescent="0.25">
      <c r="A6" s="19"/>
      <c r="B6" s="271" t="str">
        <f>'1. Information'!B6</f>
        <v>Fiscal Year: 2023-24</v>
      </c>
      <c r="C6" s="19"/>
      <c r="D6" s="1"/>
      <c r="E6" s="1"/>
      <c r="F6" s="1"/>
      <c r="G6" s="1"/>
      <c r="H6" s="1"/>
      <c r="I6" s="1"/>
      <c r="J6" s="19"/>
      <c r="K6" s="19"/>
      <c r="L6" s="19"/>
      <c r="M6" s="19"/>
      <c r="N6" s="19"/>
      <c r="O6" s="19"/>
      <c r="P6" s="19"/>
      <c r="Q6" s="19"/>
      <c r="R6" s="19"/>
      <c r="S6" s="19"/>
      <c r="T6" s="17"/>
      <c r="U6" s="17"/>
      <c r="V6" s="17"/>
    </row>
    <row r="7" spans="1:22" ht="17.399999999999999" x14ac:dyDescent="0.25">
      <c r="A7" s="19"/>
      <c r="B7" s="450" t="s">
        <v>290</v>
      </c>
      <c r="C7" s="19"/>
      <c r="D7" s="5"/>
      <c r="E7" s="5"/>
      <c r="F7" s="5"/>
      <c r="G7" s="5"/>
      <c r="H7" s="5"/>
      <c r="I7" s="5"/>
      <c r="J7" s="19"/>
      <c r="K7" s="19"/>
      <c r="L7" s="19"/>
      <c r="M7" s="19"/>
      <c r="N7" s="19"/>
      <c r="O7" s="19"/>
      <c r="P7" s="19"/>
      <c r="Q7" s="19"/>
      <c r="R7" s="19"/>
      <c r="S7" s="19"/>
      <c r="T7" s="17"/>
      <c r="U7" s="17"/>
      <c r="V7" s="17"/>
    </row>
    <row r="8" spans="1:22" ht="15.6" x14ac:dyDescent="0.25">
      <c r="A8" s="19"/>
      <c r="B8" s="19"/>
      <c r="C8" s="19"/>
      <c r="D8" s="16"/>
      <c r="E8" s="16"/>
      <c r="F8" s="16"/>
      <c r="G8" s="16"/>
      <c r="H8" s="16"/>
      <c r="I8" s="19"/>
      <c r="J8" s="19"/>
      <c r="K8" s="19"/>
      <c r="L8" s="19"/>
      <c r="M8" s="19"/>
      <c r="N8" s="19"/>
      <c r="O8" s="19"/>
      <c r="P8" s="19"/>
      <c r="Q8" s="19"/>
      <c r="R8" s="19"/>
      <c r="S8" s="19"/>
      <c r="T8" s="17"/>
      <c r="U8" s="17"/>
      <c r="V8" s="17"/>
    </row>
    <row r="9" spans="1:22" ht="15.6" x14ac:dyDescent="0.3">
      <c r="A9" s="19"/>
      <c r="B9" s="19"/>
      <c r="C9" s="318" t="s">
        <v>0</v>
      </c>
      <c r="D9" s="206" t="str">
        <f>IF(ISBLANK('1. Information'!D11),"",'1. Information'!D11)</f>
        <v>Marin</v>
      </c>
      <c r="E9" s="17"/>
      <c r="F9" s="319" t="s">
        <v>1</v>
      </c>
      <c r="G9" s="451">
        <f>IF(ISBLANK('1. Information'!D9),"",'1. Information'!D9)</f>
        <v>45684</v>
      </c>
      <c r="H9" s="17"/>
      <c r="I9" s="19"/>
      <c r="J9" s="19"/>
      <c r="K9" s="19"/>
      <c r="L9" s="124"/>
      <c r="M9" s="124"/>
      <c r="N9" s="124"/>
      <c r="O9" s="124"/>
      <c r="P9" s="124"/>
      <c r="Q9" s="124"/>
      <c r="R9" s="124"/>
      <c r="S9" s="124"/>
      <c r="T9" s="17"/>
      <c r="U9" s="17"/>
      <c r="V9" s="17"/>
    </row>
    <row r="10" spans="1:22" ht="15.6" x14ac:dyDescent="0.3">
      <c r="A10" s="19"/>
      <c r="B10" s="19"/>
      <c r="C10" s="2"/>
      <c r="D10" s="2"/>
      <c r="E10" s="4"/>
      <c r="F10" s="2"/>
      <c r="G10" s="12"/>
      <c r="H10" s="20"/>
      <c r="I10" s="19"/>
      <c r="J10" s="19"/>
      <c r="K10" s="19"/>
      <c r="L10" s="124"/>
      <c r="M10" s="124"/>
      <c r="N10" s="124"/>
      <c r="O10" s="124"/>
      <c r="P10" s="124"/>
      <c r="Q10" s="124"/>
      <c r="R10" s="124"/>
      <c r="S10" s="124"/>
      <c r="T10" s="17"/>
      <c r="U10" s="17"/>
      <c r="V10" s="17"/>
    </row>
    <row r="11" spans="1:22" ht="18" thickBot="1" x14ac:dyDescent="0.35">
      <c r="A11" s="19"/>
      <c r="B11" s="324" t="s">
        <v>211</v>
      </c>
      <c r="C11" s="135"/>
      <c r="D11" s="135"/>
      <c r="E11" s="142"/>
      <c r="F11" s="135"/>
      <c r="G11" s="158"/>
      <c r="H11" s="144"/>
      <c r="I11" s="141"/>
      <c r="J11" s="141"/>
      <c r="K11" s="141"/>
      <c r="L11" s="124"/>
      <c r="M11" s="124"/>
      <c r="N11" s="124"/>
      <c r="O11" s="124"/>
      <c r="P11" s="124"/>
      <c r="Q11" s="124"/>
      <c r="R11" s="124"/>
      <c r="S11" s="124"/>
      <c r="T11" s="17"/>
      <c r="U11" s="17"/>
      <c r="V11" s="17"/>
    </row>
    <row r="12" spans="1:22" ht="16.2" thickTop="1" x14ac:dyDescent="0.3">
      <c r="A12" s="19"/>
      <c r="B12" s="2"/>
      <c r="C12" s="2"/>
      <c r="D12" s="2"/>
      <c r="E12" s="4"/>
      <c r="F12" s="2"/>
      <c r="G12" s="12"/>
      <c r="H12" s="20"/>
      <c r="I12" s="19"/>
      <c r="J12" s="19"/>
      <c r="K12" s="19"/>
      <c r="L12" s="124"/>
      <c r="M12" s="124"/>
      <c r="N12" s="124"/>
      <c r="O12" s="124"/>
      <c r="P12" s="124"/>
      <c r="Q12" s="124"/>
      <c r="R12" s="124"/>
      <c r="S12" s="17"/>
      <c r="T12" s="17"/>
      <c r="U12" s="17"/>
      <c r="V12" s="17"/>
    </row>
    <row r="13" spans="1:22" ht="15.6" x14ac:dyDescent="0.3">
      <c r="A13" s="19"/>
      <c r="B13" s="19"/>
      <c r="C13" s="2"/>
      <c r="D13" s="2"/>
      <c r="E13" s="159"/>
      <c r="F13" s="330" t="s">
        <v>22</v>
      </c>
      <c r="G13" s="291" t="s">
        <v>23</v>
      </c>
      <c r="H13" s="330" t="s">
        <v>25</v>
      </c>
      <c r="I13" s="437" t="s">
        <v>199</v>
      </c>
      <c r="J13" s="330" t="s">
        <v>200</v>
      </c>
      <c r="K13" s="330" t="s">
        <v>201</v>
      </c>
      <c r="L13" s="124"/>
      <c r="M13" s="124"/>
      <c r="N13" s="124"/>
      <c r="O13" s="19"/>
      <c r="P13" s="19"/>
      <c r="Q13" s="17"/>
      <c r="R13" s="17"/>
      <c r="S13" s="17"/>
      <c r="T13" s="17"/>
      <c r="U13" s="17"/>
      <c r="V13" s="17"/>
    </row>
    <row r="14" spans="1:22" ht="46.8" x14ac:dyDescent="0.3">
      <c r="A14" s="19"/>
      <c r="B14" s="19"/>
      <c r="C14" s="160"/>
      <c r="D14" s="160"/>
      <c r="E14" s="160"/>
      <c r="F14" s="377" t="s">
        <v>276</v>
      </c>
      <c r="G14" s="378" t="s">
        <v>4</v>
      </c>
      <c r="H14" s="378" t="s">
        <v>5</v>
      </c>
      <c r="I14" s="378" t="s">
        <v>24</v>
      </c>
      <c r="J14" s="378" t="s">
        <v>12</v>
      </c>
      <c r="K14" s="379" t="s">
        <v>216</v>
      </c>
      <c r="L14" s="124"/>
      <c r="M14" s="124"/>
      <c r="N14" s="19"/>
      <c r="O14" s="19"/>
      <c r="P14" s="17"/>
      <c r="Q14" s="17"/>
      <c r="R14" s="17"/>
      <c r="S14" s="17"/>
      <c r="T14" s="17"/>
      <c r="U14" s="17"/>
      <c r="V14" s="17"/>
    </row>
    <row r="15" spans="1:22" ht="15.6" x14ac:dyDescent="0.3">
      <c r="A15" s="19"/>
      <c r="B15" s="400">
        <v>1</v>
      </c>
      <c r="C15" s="318" t="s">
        <v>13</v>
      </c>
      <c r="D15" s="137"/>
      <c r="E15" s="139"/>
      <c r="F15" s="185">
        <v>0</v>
      </c>
      <c r="G15" s="189"/>
      <c r="H15" s="189"/>
      <c r="I15" s="189"/>
      <c r="J15" s="189"/>
      <c r="K15" s="337">
        <f>SUM(F15:J15)</f>
        <v>0</v>
      </c>
      <c r="L15" s="124"/>
      <c r="M15" s="124"/>
      <c r="N15" s="19"/>
      <c r="O15" s="19"/>
      <c r="P15" s="17"/>
      <c r="Q15" s="17"/>
      <c r="R15" s="17"/>
      <c r="S15" s="17"/>
      <c r="T15" s="17"/>
      <c r="U15" s="17"/>
      <c r="V15" s="17"/>
    </row>
    <row r="16" spans="1:22" ht="15.6" x14ac:dyDescent="0.3">
      <c r="A16" s="19"/>
      <c r="B16" s="400">
        <v>2</v>
      </c>
      <c r="C16" s="318" t="s">
        <v>14</v>
      </c>
      <c r="D16" s="137"/>
      <c r="E16" s="139"/>
      <c r="F16" s="185">
        <v>0</v>
      </c>
      <c r="G16" s="189"/>
      <c r="H16" s="189"/>
      <c r="I16" s="189"/>
      <c r="J16" s="189"/>
      <c r="K16" s="337">
        <f t="shared" ref="K16:K21" si="0">SUM(F16:J16)</f>
        <v>0</v>
      </c>
      <c r="L16" s="124"/>
      <c r="M16" s="124"/>
      <c r="N16" s="19"/>
      <c r="O16" s="19"/>
      <c r="P16" s="17"/>
      <c r="Q16" s="17"/>
      <c r="R16" s="17"/>
      <c r="S16" s="17"/>
      <c r="T16" s="17"/>
      <c r="U16" s="17"/>
      <c r="V16" s="17"/>
    </row>
    <row r="17" spans="1:22" ht="15.6" x14ac:dyDescent="0.3">
      <c r="A17" s="19"/>
      <c r="B17" s="400">
        <v>3</v>
      </c>
      <c r="C17" s="318" t="s">
        <v>195</v>
      </c>
      <c r="D17" s="137"/>
      <c r="E17" s="139"/>
      <c r="F17" s="185">
        <f>48851.8+43430.07</f>
        <v>92281.87</v>
      </c>
      <c r="G17" s="189"/>
      <c r="H17" s="189"/>
      <c r="I17" s="189"/>
      <c r="J17" s="189"/>
      <c r="K17" s="337">
        <f t="shared" si="0"/>
        <v>92281.87</v>
      </c>
      <c r="L17" s="124"/>
      <c r="M17" s="124"/>
      <c r="N17" s="19"/>
      <c r="O17" s="19"/>
      <c r="P17" s="17"/>
      <c r="Q17" s="17"/>
      <c r="R17" s="17"/>
      <c r="S17" s="17"/>
      <c r="T17" s="17"/>
      <c r="U17" s="17"/>
      <c r="V17" s="17"/>
    </row>
    <row r="18" spans="1:22" ht="15.6" x14ac:dyDescent="0.3">
      <c r="A18" s="19"/>
      <c r="B18" s="400">
        <v>4</v>
      </c>
      <c r="C18" s="318" t="s">
        <v>186</v>
      </c>
      <c r="D18" s="137"/>
      <c r="E18" s="139"/>
      <c r="F18" s="189"/>
      <c r="G18" s="238"/>
      <c r="H18" s="238"/>
      <c r="I18" s="238"/>
      <c r="J18" s="238"/>
      <c r="K18" s="337">
        <f>F18</f>
        <v>0</v>
      </c>
      <c r="L18" s="124"/>
      <c r="M18" s="124"/>
      <c r="N18" s="19"/>
      <c r="O18" s="19"/>
      <c r="P18" s="17"/>
      <c r="Q18" s="17"/>
      <c r="R18" s="17"/>
      <c r="S18" s="17"/>
      <c r="T18" s="17"/>
      <c r="U18" s="17"/>
      <c r="V18" s="17"/>
    </row>
    <row r="19" spans="1:22" ht="15.6" x14ac:dyDescent="0.3">
      <c r="A19" s="19"/>
      <c r="B19" s="400">
        <v>5</v>
      </c>
      <c r="C19" s="318" t="s">
        <v>289</v>
      </c>
      <c r="D19" s="137"/>
      <c r="E19" s="139"/>
      <c r="F19" s="189"/>
      <c r="G19" s="238"/>
      <c r="H19" s="238"/>
      <c r="I19" s="238"/>
      <c r="J19" s="238"/>
      <c r="K19" s="337">
        <f>F19</f>
        <v>0</v>
      </c>
      <c r="L19" s="124"/>
      <c r="M19" s="124"/>
      <c r="N19" s="19"/>
      <c r="O19" s="19"/>
      <c r="P19" s="17"/>
      <c r="Q19" s="17"/>
      <c r="R19" s="17"/>
      <c r="S19" s="17"/>
      <c r="T19" s="17"/>
      <c r="U19" s="17"/>
      <c r="V19" s="17"/>
    </row>
    <row r="20" spans="1:22" ht="15.6" x14ac:dyDescent="0.3">
      <c r="A20" s="19"/>
      <c r="B20" s="400">
        <v>6</v>
      </c>
      <c r="C20" s="338" t="s">
        <v>150</v>
      </c>
      <c r="D20" s="139"/>
      <c r="E20" s="138"/>
      <c r="F20" s="452">
        <f>SUM(E28:E32)</f>
        <v>388688.26</v>
      </c>
      <c r="G20" s="453">
        <f t="shared" ref="G20:I20" si="1">SUM(F28:F32)</f>
        <v>0</v>
      </c>
      <c r="H20" s="452">
        <f t="shared" si="1"/>
        <v>0</v>
      </c>
      <c r="I20" s="452">
        <f t="shared" si="1"/>
        <v>0</v>
      </c>
      <c r="J20" s="452">
        <f>SUM(I28:I32)</f>
        <v>53339.68</v>
      </c>
      <c r="K20" s="340">
        <f t="shared" si="0"/>
        <v>442027.94</v>
      </c>
      <c r="L20" s="124"/>
      <c r="M20" s="124"/>
      <c r="N20" s="19"/>
      <c r="O20" s="19"/>
      <c r="P20" s="17"/>
      <c r="Q20" s="17"/>
      <c r="R20" s="17"/>
      <c r="S20" s="17"/>
      <c r="T20" s="17"/>
      <c r="U20" s="17"/>
      <c r="V20" s="17"/>
    </row>
    <row r="21" spans="1:22" ht="30.9" customHeight="1" x14ac:dyDescent="0.3">
      <c r="A21" s="19"/>
      <c r="B21" s="400">
        <v>7</v>
      </c>
      <c r="C21" s="383" t="s">
        <v>185</v>
      </c>
      <c r="D21" s="147"/>
      <c r="E21" s="147"/>
      <c r="F21" s="384">
        <f>SUM(F15:F17,F19:F20)</f>
        <v>480970.13</v>
      </c>
      <c r="G21" s="347">
        <f>SUM(G15:G17,G20)</f>
        <v>0</v>
      </c>
      <c r="H21" s="346">
        <f>SUM(H15:H17,H20)</f>
        <v>0</v>
      </c>
      <c r="I21" s="346">
        <f>SUM(I15:I17,I20)</f>
        <v>0</v>
      </c>
      <c r="J21" s="346">
        <f>SUM(J15:J17,J20)</f>
        <v>53339.68</v>
      </c>
      <c r="K21" s="384">
        <f t="shared" si="0"/>
        <v>534309.81000000006</v>
      </c>
      <c r="L21" s="124"/>
      <c r="M21" s="124"/>
      <c r="N21" s="19"/>
      <c r="O21" s="19"/>
      <c r="P21" s="17"/>
      <c r="Q21" s="17"/>
      <c r="R21" s="17"/>
      <c r="S21" s="17"/>
      <c r="T21" s="17"/>
      <c r="U21" s="17"/>
      <c r="V21" s="17"/>
    </row>
    <row r="22" spans="1:22" x14ac:dyDescent="0.25">
      <c r="A22" s="19"/>
      <c r="B22" s="19"/>
      <c r="C22" s="19"/>
      <c r="D22" s="19"/>
      <c r="E22" s="19"/>
      <c r="F22" s="19"/>
      <c r="G22" s="19"/>
      <c r="H22" s="19"/>
      <c r="I22" s="19"/>
      <c r="J22" s="19"/>
      <c r="K22" s="19"/>
      <c r="L22" s="19"/>
      <c r="M22" s="19"/>
      <c r="N22" s="19"/>
      <c r="O22" s="19"/>
      <c r="P22" s="19"/>
      <c r="Q22" s="19"/>
      <c r="R22" s="19"/>
      <c r="S22" s="19"/>
      <c r="T22" s="19"/>
      <c r="U22" s="19"/>
      <c r="V22" s="19"/>
    </row>
    <row r="23" spans="1:22" ht="15.6" x14ac:dyDescent="0.3">
      <c r="A23" s="19"/>
      <c r="B23" s="19"/>
      <c r="C23" s="7"/>
      <c r="D23" s="19"/>
      <c r="E23" s="19"/>
      <c r="F23" s="19"/>
      <c r="G23" s="19"/>
      <c r="H23" s="19"/>
      <c r="I23" s="19"/>
      <c r="J23" s="19"/>
      <c r="K23" s="19"/>
      <c r="L23" s="19"/>
      <c r="M23" s="19"/>
      <c r="N23" s="19"/>
      <c r="O23" s="19"/>
      <c r="P23" s="19"/>
      <c r="Q23" s="19"/>
      <c r="R23" s="19"/>
      <c r="S23" s="19"/>
      <c r="T23" s="19"/>
      <c r="U23" s="19"/>
      <c r="V23" s="19"/>
    </row>
    <row r="24" spans="1:22" ht="18" thickBot="1" x14ac:dyDescent="0.35">
      <c r="A24" s="19"/>
      <c r="B24" s="352" t="s">
        <v>212</v>
      </c>
      <c r="C24" s="140"/>
      <c r="D24" s="141"/>
      <c r="E24" s="141"/>
      <c r="F24" s="141"/>
      <c r="G24" s="141"/>
      <c r="H24" s="141"/>
      <c r="I24" s="141"/>
      <c r="J24" s="141"/>
      <c r="K24" s="124"/>
      <c r="L24" s="124"/>
      <c r="M24" s="124"/>
      <c r="N24" s="124"/>
      <c r="O24" s="124"/>
      <c r="P24" s="124"/>
      <c r="Q24" s="124"/>
      <c r="R24" s="124"/>
      <c r="S24" s="124"/>
      <c r="T24" s="17"/>
      <c r="U24" s="17"/>
      <c r="V24" s="17"/>
    </row>
    <row r="25" spans="1:22" ht="16.2" thickTop="1" x14ac:dyDescent="0.3">
      <c r="A25" s="19"/>
      <c r="B25" s="7"/>
      <c r="C25" s="7"/>
      <c r="D25" s="19"/>
      <c r="E25" s="19"/>
      <c r="F25" s="19"/>
      <c r="G25" s="19"/>
      <c r="H25" s="19"/>
      <c r="I25" s="19"/>
      <c r="J25" s="19"/>
      <c r="K25" s="124"/>
      <c r="L25" s="124"/>
      <c r="M25" s="124"/>
      <c r="N25" s="124"/>
      <c r="O25" s="124"/>
      <c r="P25" s="124"/>
      <c r="Q25" s="124"/>
      <c r="R25" s="124"/>
      <c r="S25" s="17"/>
      <c r="T25" s="17"/>
      <c r="U25" s="17"/>
      <c r="V25" s="17"/>
    </row>
    <row r="26" spans="1:22" ht="15.6" x14ac:dyDescent="0.3">
      <c r="A26" s="19"/>
      <c r="B26" s="7"/>
      <c r="C26" s="400" t="s">
        <v>22</v>
      </c>
      <c r="D26" s="330" t="s">
        <v>23</v>
      </c>
      <c r="E26" s="330" t="s">
        <v>25</v>
      </c>
      <c r="F26" s="454" t="s">
        <v>199</v>
      </c>
      <c r="G26" s="330" t="s">
        <v>200</v>
      </c>
      <c r="H26" s="330" t="s">
        <v>201</v>
      </c>
      <c r="I26" s="330" t="s">
        <v>210</v>
      </c>
      <c r="J26" s="330" t="s">
        <v>202</v>
      </c>
      <c r="K26" s="124"/>
      <c r="L26" s="124"/>
      <c r="M26" s="124"/>
      <c r="N26" s="124"/>
      <c r="O26" s="124"/>
      <c r="P26" s="124"/>
      <c r="Q26" s="124"/>
      <c r="R26" s="124"/>
      <c r="S26" s="17"/>
      <c r="T26" s="17"/>
      <c r="U26" s="17"/>
      <c r="V26" s="17"/>
    </row>
    <row r="27" spans="1:22" ht="31.2" x14ac:dyDescent="0.3">
      <c r="A27" s="19"/>
      <c r="B27" s="393" t="s">
        <v>117</v>
      </c>
      <c r="C27" s="455" t="s">
        <v>165</v>
      </c>
      <c r="D27" s="455" t="s">
        <v>17</v>
      </c>
      <c r="E27" s="377" t="s">
        <v>276</v>
      </c>
      <c r="F27" s="456" t="s">
        <v>4</v>
      </c>
      <c r="G27" s="457" t="s">
        <v>5</v>
      </c>
      <c r="H27" s="457" t="s">
        <v>24</v>
      </c>
      <c r="I27" s="457" t="s">
        <v>12</v>
      </c>
      <c r="J27" s="397" t="s">
        <v>216</v>
      </c>
      <c r="K27" s="124"/>
      <c r="L27" s="124"/>
      <c r="M27" s="124"/>
      <c r="N27" s="124"/>
      <c r="O27" s="124"/>
      <c r="P27" s="124"/>
      <c r="Q27" s="124"/>
      <c r="R27" s="124"/>
      <c r="S27" s="17"/>
      <c r="T27" s="17"/>
      <c r="U27" s="17"/>
      <c r="V27" s="17"/>
    </row>
    <row r="28" spans="1:22" ht="15.6" x14ac:dyDescent="0.3">
      <c r="A28" s="24"/>
      <c r="B28" s="458">
        <v>8</v>
      </c>
      <c r="C28" s="401">
        <f t="shared" ref="C28:C32" si="2">IF(J28&lt;&gt;0,VLOOKUP($D$9,Info_County_Code,2,FALSE),"")</f>
        <v>21</v>
      </c>
      <c r="D28" s="459" t="s">
        <v>96</v>
      </c>
      <c r="E28" s="194">
        <f>266505.46-I28</f>
        <v>213166.78000000003</v>
      </c>
      <c r="F28" s="408"/>
      <c r="G28" s="408"/>
      <c r="H28" s="408"/>
      <c r="I28" s="194">
        <v>53338.68</v>
      </c>
      <c r="J28" s="460">
        <f>SUM(E28:I28)</f>
        <v>266505.46000000002</v>
      </c>
      <c r="K28" s="124"/>
      <c r="L28" s="124"/>
      <c r="M28" s="124"/>
      <c r="N28" s="124"/>
      <c r="O28" s="124"/>
      <c r="P28" s="124"/>
      <c r="Q28" s="124"/>
      <c r="R28" s="124"/>
      <c r="S28" s="17"/>
      <c r="T28" s="17"/>
      <c r="U28" s="17"/>
      <c r="V28" s="17"/>
    </row>
    <row r="29" spans="1:22" ht="15.6" x14ac:dyDescent="0.3">
      <c r="A29" s="19"/>
      <c r="B29" s="400">
        <v>9</v>
      </c>
      <c r="C29" s="401">
        <f t="shared" si="2"/>
        <v>21</v>
      </c>
      <c r="D29" s="459" t="s">
        <v>97</v>
      </c>
      <c r="E29" s="194">
        <v>75611.67</v>
      </c>
      <c r="F29" s="408"/>
      <c r="G29" s="408"/>
      <c r="H29" s="408"/>
      <c r="I29" s="408"/>
      <c r="J29" s="460">
        <f t="shared" ref="J29:J32" si="3">SUM(E29:I29)</f>
        <v>75611.67</v>
      </c>
      <c r="K29" s="124"/>
      <c r="L29" s="124"/>
      <c r="M29" s="124"/>
      <c r="N29" s="124"/>
      <c r="O29" s="124"/>
      <c r="P29" s="124"/>
      <c r="Q29" s="124"/>
      <c r="R29" s="124"/>
      <c r="S29" s="17"/>
      <c r="T29" s="17"/>
      <c r="U29" s="17"/>
      <c r="V29" s="17"/>
    </row>
    <row r="30" spans="1:22" ht="15.6" x14ac:dyDescent="0.3">
      <c r="A30" s="19"/>
      <c r="B30" s="400">
        <v>10</v>
      </c>
      <c r="C30" s="401">
        <f t="shared" si="2"/>
        <v>21</v>
      </c>
      <c r="D30" s="292" t="s">
        <v>288</v>
      </c>
      <c r="E30" s="194">
        <f>30598.4-2712.5</f>
        <v>27885.9</v>
      </c>
      <c r="F30" s="408"/>
      <c r="G30" s="408"/>
      <c r="H30" s="408"/>
      <c r="I30" s="194">
        <v>1</v>
      </c>
      <c r="J30" s="460">
        <f t="shared" si="3"/>
        <v>27886.9</v>
      </c>
      <c r="K30" s="124"/>
      <c r="L30" s="124"/>
      <c r="M30" s="124"/>
      <c r="N30" s="124"/>
      <c r="O30" s="124"/>
      <c r="P30" s="124"/>
      <c r="Q30" s="124"/>
      <c r="R30" s="124"/>
      <c r="S30" s="17"/>
      <c r="T30" s="17"/>
      <c r="U30" s="17"/>
      <c r="V30" s="17"/>
    </row>
    <row r="31" spans="1:22" ht="15.6" x14ac:dyDescent="0.3">
      <c r="A31" s="19"/>
      <c r="B31" s="458">
        <v>11</v>
      </c>
      <c r="C31" s="401" t="str">
        <f t="shared" si="2"/>
        <v/>
      </c>
      <c r="D31" s="459" t="s">
        <v>99</v>
      </c>
      <c r="E31" s="408"/>
      <c r="F31" s="408"/>
      <c r="G31" s="408"/>
      <c r="H31" s="408"/>
      <c r="I31" s="408"/>
      <c r="J31" s="460">
        <f t="shared" si="3"/>
        <v>0</v>
      </c>
      <c r="K31" s="124"/>
      <c r="L31" s="124"/>
      <c r="M31" s="124"/>
      <c r="N31" s="124"/>
      <c r="O31" s="124"/>
      <c r="P31" s="124"/>
      <c r="Q31" s="124"/>
      <c r="R31" s="124"/>
      <c r="S31" s="17"/>
      <c r="T31" s="17"/>
      <c r="U31" s="17"/>
      <c r="V31" s="17"/>
    </row>
    <row r="32" spans="1:22" ht="15.6" x14ac:dyDescent="0.3">
      <c r="A32" s="19"/>
      <c r="B32" s="400">
        <v>12</v>
      </c>
      <c r="C32" s="401">
        <f t="shared" si="2"/>
        <v>21</v>
      </c>
      <c r="D32" s="459" t="s">
        <v>100</v>
      </c>
      <c r="E32" s="194">
        <v>72023.91</v>
      </c>
      <c r="F32" s="408"/>
      <c r="G32" s="408"/>
      <c r="H32" s="408"/>
      <c r="I32" s="408"/>
      <c r="J32" s="460">
        <f t="shared" si="3"/>
        <v>72023.91</v>
      </c>
      <c r="K32" s="124"/>
      <c r="L32" s="124"/>
      <c r="M32" s="124"/>
      <c r="N32" s="124"/>
      <c r="O32" s="124"/>
      <c r="P32" s="124"/>
      <c r="Q32" s="124"/>
      <c r="R32" s="124"/>
      <c r="S32" s="17"/>
      <c r="T32" s="17"/>
      <c r="U32" s="17"/>
      <c r="V32" s="17"/>
    </row>
  </sheetData>
  <sheetProtection algorithmName="SHA-512" hashValue="Pn4HUgk8CNk2YGoHmBGrBe87zEXlQCyCjq+QCulnMerKpZxiNbFeqTZGR4tGWYihdlA2uq795gIlVbDkRhWlHg==" saltValue="9EceHPprxblZ7Cd1u8UJXw==" spinCount="100000" sheet="1" objects="1" scenarios="1" selectLockedCells="1"/>
  <customSheetViews>
    <customSheetView guid="{E7E6A24F-BA49-4C7A-9CED-3AB8F60308A1}" scale="85" showGridLines="0" printArea="1" topLeftCell="A16">
      <selection activeCell="C27" sqref="C27"/>
      <colBreaks count="1" manualBreakCount="1">
        <brk id="21" min="7" max="34" man="1"/>
      </colBreaks>
      <pageMargins left="0.25" right="0.25" top="0.75" bottom="0.75" header="0.3" footer="0.3"/>
      <pageSetup paperSize="5" scale="81" fitToWidth="0" fitToHeight="0" orientation="landscape" r:id="rId1"/>
      <headerFooter>
        <oddFooter>&amp;C&amp;"Arial,Regular"&amp;16Page &amp;P of &amp;N</oddFooter>
      </headerFooter>
    </customSheetView>
    <customSheetView guid="{7E50CCF5-45D0-4F7B-8896-9BA64DCA8A01}" scale="85" showGridLines="0">
      <selection activeCell="B7" sqref="B7"/>
      <colBreaks count="1" manualBreakCount="1">
        <brk id="21" min="7" max="34" man="1"/>
      </colBreaks>
      <pageMargins left="0.25" right="0.25" top="0.75" bottom="0.75" header="0.3" footer="0.3"/>
      <pageSetup paperSize="5" scale="81" fitToWidth="0" fitToHeight="0" orientation="landscape" r:id="rId2"/>
      <headerFooter>
        <oddFooter>&amp;C&amp;"Arial,Regular"&amp;16Page &amp;P of &amp;N</oddFooter>
      </headerFooter>
    </customSheetView>
    <customSheetView guid="{D8D3A042-2CA2-4641-BB44-BC182917D730}" scale="85" showGridLines="0" printArea="1" topLeftCell="A10">
      <selection activeCell="B7" sqref="B7"/>
      <colBreaks count="1" manualBreakCount="1">
        <brk id="21" min="7" max="34" man="1"/>
      </colBreaks>
      <pageMargins left="0.25" right="0.25" top="0.75" bottom="0.75" header="0.3" footer="0.3"/>
      <pageSetup paperSize="5" scale="81" fitToWidth="0" fitToHeight="0" orientation="landscape" r:id="rId3"/>
      <headerFooter>
        <oddFooter>&amp;C&amp;"Arial,Regular"&amp;16Page &amp;P of &amp;N</oddFooter>
      </headerFooter>
    </customSheetView>
  </customSheetViews>
  <dataValidations xWindow="551" yWindow="778" count="42">
    <dataValidation allowBlank="1" showInputMessage="1" showErrorMessage="1" prompt="Type in the Total MHSA Funds (Including Interest) for WET Annual Planning Costs. " sqref="F15" xr:uid="{00000000-0002-0000-0B00-000000000000}"/>
    <dataValidation allowBlank="1" showInputMessage="1" showErrorMessage="1" prompt="Type in the Medi-Cal FFP for WET Annual Planning Costs. " sqref="G15" xr:uid="{00000000-0002-0000-0B00-000001000000}"/>
    <dataValidation allowBlank="1" showInputMessage="1" showErrorMessage="1" prompt="Type in the 1991 Realignment for WET Annual Planning Costs. " sqref="H15" xr:uid="{00000000-0002-0000-0B00-000002000000}"/>
    <dataValidation allowBlank="1" showInputMessage="1" showErrorMessage="1" prompt="Type in the Behavioral Health Subaccount amount for WET Annual Planning Costs. " sqref="I15" xr:uid="{00000000-0002-0000-0B00-000003000000}"/>
    <dataValidation allowBlank="1" showInputMessage="1" showErrorMessage="1" prompt="Type in Other funds for WET Annual Planning Costs. " sqref="J15" xr:uid="{00000000-0002-0000-0B00-000004000000}"/>
    <dataValidation allowBlank="1" showInputMessage="1" showErrorMessage="1" prompt="Type in Other funds for WET Evaluation Costs. " sqref="J16" xr:uid="{00000000-0002-0000-0B00-000005000000}"/>
    <dataValidation allowBlank="1" showInputMessage="1" showErrorMessage="1" prompt="Type in Other funds for WET Administration Costs." sqref="J17" xr:uid="{00000000-0002-0000-0B00-000006000000}"/>
    <dataValidation allowBlank="1" showInputMessage="1" showErrorMessage="1" prompt="Type in the Behavioral Health Subaccount amount for WET Evaluation Costs." sqref="I16" xr:uid="{00000000-0002-0000-0B00-000007000000}"/>
    <dataValidation allowBlank="1" showInputMessage="1" showErrorMessage="1" prompt="Type in the Behavioral Health Subaccount amount for WET Administration Costs. " sqref="I17" xr:uid="{00000000-0002-0000-0B00-000008000000}"/>
    <dataValidation allowBlank="1" showInputMessage="1" showErrorMessage="1" prompt="Type in the 1991 Realignment for WET Evaluation Costs." sqref="H16" xr:uid="{00000000-0002-0000-0B00-000009000000}"/>
    <dataValidation allowBlank="1" showInputMessage="1" showErrorMessage="1" prompt="Type in the 1991 Realignment for WET Administration Costs. " sqref="H17" xr:uid="{00000000-0002-0000-0B00-00000A000000}"/>
    <dataValidation allowBlank="1" showInputMessage="1" showErrorMessage="1" prompt="Type in the Medi-Cal FFP for WET Evaluation Costs. " sqref="G16" xr:uid="{00000000-0002-0000-0B00-00000B000000}"/>
    <dataValidation allowBlank="1" showInputMessage="1" showErrorMessage="1" prompt="Type in the Medi-Cal FFP for WET Administration Costs. " sqref="G17" xr:uid="{00000000-0002-0000-0B00-00000C000000}"/>
    <dataValidation allowBlank="1" showInputMessage="1" showErrorMessage="1" prompt="Type in the Total MHSA Funds (Including Interest) for WET Evaluation Costs. " sqref="F16" xr:uid="{00000000-0002-0000-0B00-00000D000000}"/>
    <dataValidation allowBlank="1" showInputMessage="1" showErrorMessage="1" prompt="Type in the Total MHSA Funds (Including Interest) for WET Administration Costs. " sqref="F17" xr:uid="{00000000-0002-0000-0B00-00000E000000}"/>
    <dataValidation allowBlank="1" showInputMessage="1" showErrorMessage="1" prompt="Type in the Total MHSA Funds (Including Interest) for WET Funds Transferred to JPA." sqref="F18" xr:uid="{00000000-0002-0000-0B00-00000F000000}"/>
    <dataValidation allowBlank="1" showInputMessage="1" showErrorMessage="1" prompt="Type in the Total MHSA Funds (Including Interest) for WET Expenditures Incurred by JPA." sqref="F19" xr:uid="{00000000-0002-0000-0B00-000010000000}"/>
    <dataValidation allowBlank="1" showInputMessage="1" showErrorMessage="1" prompt="Type in Total MHSA Funds (Including Interest) in Workforce Staffing. " sqref="E28" xr:uid="{00000000-0002-0000-0B00-000011000000}"/>
    <dataValidation allowBlank="1" showInputMessage="1" showErrorMessage="1" prompt="Type in Medi-Cal FFP funds in Workforce Staffing. " sqref="F28" xr:uid="{00000000-0002-0000-0B00-000012000000}"/>
    <dataValidation allowBlank="1" showInputMessage="1" showErrorMessage="1" prompt="Type in 1991 Realignment funds in Workforce Staffing. " sqref="G28" xr:uid="{00000000-0002-0000-0B00-000013000000}"/>
    <dataValidation allowBlank="1" showInputMessage="1" showErrorMessage="1" prompt="Type in Behavioral Health Subaccount funds in Workforce Staffing." sqref="H28" xr:uid="{00000000-0002-0000-0B00-000014000000}"/>
    <dataValidation allowBlank="1" showInputMessage="1" showErrorMessage="1" prompt="Type in Other funds in Workforce Staffing. " sqref="I28" xr:uid="{00000000-0002-0000-0B00-000015000000}"/>
    <dataValidation allowBlank="1" showInputMessage="1" showErrorMessage="1" prompt="Type in Total MHSA Funds (Including Interest) in Training/Technical Assistance. " sqref="E29" xr:uid="{00000000-0002-0000-0B00-000016000000}"/>
    <dataValidation allowBlank="1" showInputMessage="1" showErrorMessage="1" prompt="Type in Medi-Cal FFP funds in Training/Technical Assistance." sqref="F29" xr:uid="{00000000-0002-0000-0B00-000017000000}"/>
    <dataValidation allowBlank="1" showInputMessage="1" showErrorMessage="1" prompt="Type in 1991 Realignment funds in Training/Technical Assistance." sqref="G29" xr:uid="{00000000-0002-0000-0B00-000018000000}"/>
    <dataValidation allowBlank="1" showInputMessage="1" showErrorMessage="1" prompt="Type in Behavioral Health Subaccount funds in Training/Technical Assistance." sqref="H29" xr:uid="{00000000-0002-0000-0B00-000019000000}"/>
    <dataValidation allowBlank="1" showInputMessage="1" showErrorMessage="1" prompt="Type in Other funds in Training/Technical Assistance." sqref="I29" xr:uid="{00000000-0002-0000-0B00-00001A000000}"/>
    <dataValidation allowBlank="1" showInputMessage="1" showErrorMessage="1" prompt="Type in Total MHSA Funds (Including Interest) in Mental Health Career Pathways." sqref="E30" xr:uid="{00000000-0002-0000-0B00-00001B000000}"/>
    <dataValidation allowBlank="1" showInputMessage="1" showErrorMessage="1" prompt="Type in Medi-Cal FFP funds in Mental Health Career Pathways." sqref="F30" xr:uid="{00000000-0002-0000-0B00-00001C000000}"/>
    <dataValidation allowBlank="1" showInputMessage="1" showErrorMessage="1" prompt="Type in 1991 Realignment funds in Mental Health Career Pathways. " sqref="G30" xr:uid="{00000000-0002-0000-0B00-00001D000000}"/>
    <dataValidation allowBlank="1" showInputMessage="1" showErrorMessage="1" prompt="Type in Behavioral Health Subaccount funds in Mental Health Career Pathways. " sqref="H30" xr:uid="{00000000-0002-0000-0B00-00001E000000}"/>
    <dataValidation allowBlank="1" showInputMessage="1" showErrorMessage="1" prompt="Type in Other funds in Mental Health Career Pathways. _x000a_" sqref="I30" xr:uid="{00000000-0002-0000-0B00-00001F000000}"/>
    <dataValidation allowBlank="1" showInputMessage="1" showErrorMessage="1" prompt="Type in Total MHSA Funds (Including Interest) in Residency/Internship." sqref="E31" xr:uid="{00000000-0002-0000-0B00-000020000000}"/>
    <dataValidation allowBlank="1" showInputMessage="1" showErrorMessage="1" prompt="Type in Medi-Cal FFP funds in Residency/Internship." sqref="F31" xr:uid="{00000000-0002-0000-0B00-000021000000}"/>
    <dataValidation allowBlank="1" showInputMessage="1" showErrorMessage="1" prompt="Type in 1991 Realignment funds in Residency/Internship." sqref="G31" xr:uid="{00000000-0002-0000-0B00-000022000000}"/>
    <dataValidation allowBlank="1" showInputMessage="1" showErrorMessage="1" prompt="Type in Behavioral Health Subaccount funds in Residency/Internship." sqref="H31" xr:uid="{00000000-0002-0000-0B00-000023000000}"/>
    <dataValidation allowBlank="1" showInputMessage="1" showErrorMessage="1" prompt="Type in Other funds in Residency/Internship." sqref="I31" xr:uid="{00000000-0002-0000-0B00-000024000000}"/>
    <dataValidation allowBlank="1" showInputMessage="1" showErrorMessage="1" prompt="Type in Total MHSA Funds (Including Interest) in Financial Incentive. " sqref="E32" xr:uid="{00000000-0002-0000-0B00-000025000000}"/>
    <dataValidation allowBlank="1" showInputMessage="1" showErrorMessage="1" prompt="Type in Medi-Cal FFP funds in Financial Incentive." sqref="F32" xr:uid="{00000000-0002-0000-0B00-000026000000}"/>
    <dataValidation allowBlank="1" showInputMessage="1" showErrorMessage="1" prompt="Type in 1991 Realignment funds in Financial Incentive." sqref="G32" xr:uid="{00000000-0002-0000-0B00-000027000000}"/>
    <dataValidation allowBlank="1" showInputMessage="1" showErrorMessage="1" prompt="Type in Behavioral Health Subaccount funds in Financial Incentive." sqref="H32" xr:uid="{00000000-0002-0000-0B00-000028000000}"/>
    <dataValidation allowBlank="1" showInputMessage="1" showErrorMessage="1" prompt="Type in Other funds in Financial Incentive. " sqref="I32" xr:uid="{00000000-0002-0000-0B00-000029000000}"/>
  </dataValidations>
  <pageMargins left="0.25" right="0.25" top="0.75" bottom="0.75" header="0.3" footer="0.3"/>
  <pageSetup paperSize="5" scale="81" fitToWidth="0" fitToHeight="0" orientation="landscape" r:id="rId4"/>
  <headerFooter>
    <oddFooter>&amp;C&amp;"Arial,Regular"&amp;16Page &amp;P of &amp;N</oddFooter>
  </headerFooter>
  <colBreaks count="1" manualBreakCount="1">
    <brk id="21" min="7" max="34"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85"/>
  <sheetViews>
    <sheetView topLeftCell="A17" workbookViewId="0">
      <selection activeCell="A44" sqref="A44"/>
    </sheetView>
  </sheetViews>
  <sheetFormatPr defaultColWidth="0" defaultRowHeight="14.4" zeroHeight="1" x14ac:dyDescent="0.3"/>
  <cols>
    <col min="1" max="1" width="128" style="174" customWidth="1"/>
    <col min="2" max="2" width="9.109375" style="174" hidden="1" customWidth="1"/>
    <col min="3" max="16384" width="9.109375" style="174" hidden="1"/>
  </cols>
  <sheetData>
    <row r="1" spans="1:1" ht="12" customHeight="1" x14ac:dyDescent="0.3">
      <c r="A1" s="211" t="s">
        <v>597</v>
      </c>
    </row>
    <row r="2" spans="1:1" ht="15.6" x14ac:dyDescent="0.3">
      <c r="A2" s="172" t="s">
        <v>305</v>
      </c>
    </row>
    <row r="3" spans="1:1" ht="15.6" x14ac:dyDescent="0.3">
      <c r="A3" s="172" t="s">
        <v>304</v>
      </c>
    </row>
    <row r="4" spans="1:1" ht="15.6" x14ac:dyDescent="0.3">
      <c r="A4" s="172" t="s">
        <v>448</v>
      </c>
    </row>
    <row r="5" spans="1:1" ht="15.6" x14ac:dyDescent="0.3">
      <c r="A5" s="172" t="s">
        <v>449</v>
      </c>
    </row>
    <row r="6" spans="1:1" ht="15.6" x14ac:dyDescent="0.3">
      <c r="A6" s="172" t="s">
        <v>450</v>
      </c>
    </row>
    <row r="7" spans="1:1" ht="15.6" x14ac:dyDescent="0.3">
      <c r="A7" s="172" t="s">
        <v>582</v>
      </c>
    </row>
    <row r="8" spans="1:1" ht="45.6" x14ac:dyDescent="0.3">
      <c r="A8" s="172" t="s">
        <v>451</v>
      </c>
    </row>
    <row r="9" spans="1:1" ht="15.6" x14ac:dyDescent="0.3">
      <c r="A9" s="172" t="s">
        <v>411</v>
      </c>
    </row>
    <row r="10" spans="1:1" ht="15.6" x14ac:dyDescent="0.3">
      <c r="A10" s="172" t="s">
        <v>452</v>
      </c>
    </row>
    <row r="11" spans="1:1" ht="15.6" x14ac:dyDescent="0.3">
      <c r="A11" s="172" t="s">
        <v>453</v>
      </c>
    </row>
    <row r="12" spans="1:1" ht="15.6" x14ac:dyDescent="0.3">
      <c r="A12" s="172" t="s">
        <v>454</v>
      </c>
    </row>
    <row r="13" spans="1:1" ht="15.6" x14ac:dyDescent="0.3">
      <c r="A13" s="172" t="s">
        <v>587</v>
      </c>
    </row>
    <row r="14" spans="1:1" ht="15.6" x14ac:dyDescent="0.3">
      <c r="A14" s="172" t="s">
        <v>455</v>
      </c>
    </row>
    <row r="15" spans="1:1" ht="15.6" x14ac:dyDescent="0.3">
      <c r="A15" s="172" t="s">
        <v>406</v>
      </c>
    </row>
    <row r="16" spans="1:1" ht="135.6" x14ac:dyDescent="0.3">
      <c r="A16" s="172" t="s">
        <v>456</v>
      </c>
    </row>
    <row r="17" spans="1:1" ht="15.6" x14ac:dyDescent="0.3">
      <c r="A17" s="172" t="s">
        <v>457</v>
      </c>
    </row>
    <row r="18" spans="1:1" ht="15.6" x14ac:dyDescent="0.3">
      <c r="A18" s="172" t="s">
        <v>458</v>
      </c>
    </row>
    <row r="19" spans="1:1" ht="15.6" x14ac:dyDescent="0.3">
      <c r="A19" s="172" t="s">
        <v>588</v>
      </c>
    </row>
    <row r="20" spans="1:1" ht="15.6" x14ac:dyDescent="0.3">
      <c r="A20" s="172" t="s">
        <v>459</v>
      </c>
    </row>
    <row r="21" spans="1:1" ht="15.6" x14ac:dyDescent="0.3">
      <c r="A21" s="172" t="s">
        <v>432</v>
      </c>
    </row>
    <row r="22" spans="1:1" ht="30.6" x14ac:dyDescent="0.3">
      <c r="A22" s="172" t="s">
        <v>460</v>
      </c>
    </row>
    <row r="23" spans="1:1" ht="15.6" x14ac:dyDescent="0.3">
      <c r="A23" s="172" t="s">
        <v>433</v>
      </c>
    </row>
    <row r="24" spans="1:1" ht="15.6" x14ac:dyDescent="0.3">
      <c r="A24" s="172" t="s">
        <v>434</v>
      </c>
    </row>
    <row r="25" spans="1:1" ht="15.6" x14ac:dyDescent="0.3">
      <c r="A25" s="172" t="s">
        <v>435</v>
      </c>
    </row>
    <row r="26" spans="1:1" ht="15.6" x14ac:dyDescent="0.3">
      <c r="A26" s="172" t="s">
        <v>436</v>
      </c>
    </row>
    <row r="27" spans="1:1" ht="15.6" x14ac:dyDescent="0.3">
      <c r="A27" s="172" t="s">
        <v>437</v>
      </c>
    </row>
    <row r="28" spans="1:1" ht="30.6" x14ac:dyDescent="0.3">
      <c r="A28" s="172" t="s">
        <v>461</v>
      </c>
    </row>
    <row r="29" spans="1:1" ht="15.6" x14ac:dyDescent="0.3">
      <c r="A29" s="172" t="s">
        <v>322</v>
      </c>
    </row>
    <row r="30" spans="1:1" ht="15.6" x14ac:dyDescent="0.3">
      <c r="A30" s="172" t="s">
        <v>403</v>
      </c>
    </row>
    <row r="31" spans="1:1" ht="15.6" x14ac:dyDescent="0.3">
      <c r="A31" s="172" t="s">
        <v>402</v>
      </c>
    </row>
    <row r="32" spans="1:1" ht="15.6" x14ac:dyDescent="0.3">
      <c r="A32" s="172" t="s">
        <v>401</v>
      </c>
    </row>
    <row r="33" spans="1:1" ht="15.6" x14ac:dyDescent="0.3">
      <c r="A33" s="172" t="s">
        <v>400</v>
      </c>
    </row>
    <row r="34" spans="1:1" ht="15.6" x14ac:dyDescent="0.3">
      <c r="A34" s="172" t="s">
        <v>462</v>
      </c>
    </row>
    <row r="35" spans="1:1" ht="15.6" x14ac:dyDescent="0.3">
      <c r="A35" s="172" t="s">
        <v>463</v>
      </c>
    </row>
    <row r="36" spans="1:1" ht="15.6" x14ac:dyDescent="0.3">
      <c r="A36" s="172" t="s">
        <v>464</v>
      </c>
    </row>
    <row r="37" spans="1:1" ht="15.6" x14ac:dyDescent="0.3">
      <c r="A37" s="172" t="s">
        <v>465</v>
      </c>
    </row>
    <row r="38" spans="1:1" ht="15.6" x14ac:dyDescent="0.3">
      <c r="A38" s="172" t="s">
        <v>466</v>
      </c>
    </row>
    <row r="39" spans="1:1" ht="15.6" x14ac:dyDescent="0.3">
      <c r="A39" s="172" t="s">
        <v>467</v>
      </c>
    </row>
    <row r="40" spans="1:1" ht="15.6" x14ac:dyDescent="0.3">
      <c r="A40" s="172" t="s">
        <v>468</v>
      </c>
    </row>
    <row r="41" spans="1:1" ht="15.6" x14ac:dyDescent="0.3">
      <c r="A41" s="172" t="s">
        <v>469</v>
      </c>
    </row>
    <row r="42" spans="1:1" ht="15.6" x14ac:dyDescent="0.3">
      <c r="A42" s="172" t="s">
        <v>470</v>
      </c>
    </row>
    <row r="43" spans="1:1" ht="15.6" x14ac:dyDescent="0.3">
      <c r="A43" s="172" t="s">
        <v>471</v>
      </c>
    </row>
    <row r="44" spans="1:1" ht="15.6" x14ac:dyDescent="0.3">
      <c r="A44" s="172" t="s">
        <v>472</v>
      </c>
    </row>
    <row r="45" spans="1:1" ht="15.6" x14ac:dyDescent="0.3">
      <c r="A45" s="172" t="s">
        <v>473</v>
      </c>
    </row>
    <row r="46" spans="1:1" ht="45.6" x14ac:dyDescent="0.3">
      <c r="A46" s="172" t="s">
        <v>474</v>
      </c>
    </row>
    <row r="47" spans="1:1" ht="15.6" x14ac:dyDescent="0.3">
      <c r="A47" s="172" t="s">
        <v>475</v>
      </c>
    </row>
    <row r="48" spans="1:1" ht="30.6" x14ac:dyDescent="0.3">
      <c r="A48" s="172" t="s">
        <v>476</v>
      </c>
    </row>
    <row r="49" spans="1:1" ht="30.6" x14ac:dyDescent="0.3">
      <c r="A49" s="214" t="s">
        <v>734</v>
      </c>
    </row>
    <row r="50" spans="1:1" ht="30.6" x14ac:dyDescent="0.3">
      <c r="A50" s="172" t="s">
        <v>477</v>
      </c>
    </row>
    <row r="51" spans="1:1" ht="30.6" x14ac:dyDescent="0.3">
      <c r="A51" s="172" t="s">
        <v>478</v>
      </c>
    </row>
    <row r="52" spans="1:1" ht="30.6" x14ac:dyDescent="0.3">
      <c r="A52" s="172" t="s">
        <v>479</v>
      </c>
    </row>
    <row r="53" spans="1:1" ht="15.6" x14ac:dyDescent="0.3">
      <c r="A53" s="172" t="s">
        <v>480</v>
      </c>
    </row>
    <row r="54" spans="1:1" ht="45.6" x14ac:dyDescent="0.3">
      <c r="A54" s="172" t="s">
        <v>481</v>
      </c>
    </row>
    <row r="55" spans="1:1" ht="15.6" x14ac:dyDescent="0.3">
      <c r="A55" s="172" t="s">
        <v>482</v>
      </c>
    </row>
    <row r="56" spans="1:1" ht="30.6" x14ac:dyDescent="0.3">
      <c r="A56" s="172" t="s">
        <v>483</v>
      </c>
    </row>
    <row r="57" spans="1:1" ht="30.6" x14ac:dyDescent="0.3">
      <c r="A57" s="214" t="s">
        <v>735</v>
      </c>
    </row>
    <row r="58" spans="1:1" ht="30.6" x14ac:dyDescent="0.3">
      <c r="A58" s="172" t="s">
        <v>484</v>
      </c>
    </row>
    <row r="59" spans="1:1" ht="30.6" x14ac:dyDescent="0.3">
      <c r="A59" s="172" t="s">
        <v>485</v>
      </c>
    </row>
    <row r="60" spans="1:1" ht="30.6" x14ac:dyDescent="0.3">
      <c r="A60" s="172" t="s">
        <v>486</v>
      </c>
    </row>
    <row r="61" spans="1:1" ht="15.6" x14ac:dyDescent="0.3">
      <c r="A61" s="172" t="s">
        <v>487</v>
      </c>
    </row>
    <row r="62" spans="1:1" ht="45.6" x14ac:dyDescent="0.3">
      <c r="A62" s="172" t="s">
        <v>488</v>
      </c>
    </row>
    <row r="63" spans="1:1" ht="15.6" x14ac:dyDescent="0.3">
      <c r="A63" s="172" t="s">
        <v>489</v>
      </c>
    </row>
    <row r="64" spans="1:1" ht="30.6" x14ac:dyDescent="0.3">
      <c r="A64" s="172" t="s">
        <v>490</v>
      </c>
    </row>
    <row r="65" spans="1:1" ht="30.6" x14ac:dyDescent="0.3">
      <c r="A65" s="214" t="s">
        <v>736</v>
      </c>
    </row>
    <row r="66" spans="1:1" ht="30.6" x14ac:dyDescent="0.3">
      <c r="A66" s="172" t="s">
        <v>491</v>
      </c>
    </row>
    <row r="67" spans="1:1" ht="30.6" x14ac:dyDescent="0.3">
      <c r="A67" s="172" t="s">
        <v>492</v>
      </c>
    </row>
    <row r="68" spans="1:1" ht="30.6" x14ac:dyDescent="0.3">
      <c r="A68" s="172" t="s">
        <v>493</v>
      </c>
    </row>
    <row r="69" spans="1:1" ht="15.6" x14ac:dyDescent="0.3">
      <c r="A69" s="172" t="s">
        <v>494</v>
      </c>
    </row>
    <row r="70" spans="1:1" ht="45.6" x14ac:dyDescent="0.3">
      <c r="A70" s="172" t="s">
        <v>495</v>
      </c>
    </row>
    <row r="71" spans="1:1" ht="15.6" x14ac:dyDescent="0.3">
      <c r="A71" s="172" t="s">
        <v>496</v>
      </c>
    </row>
    <row r="72" spans="1:1" ht="30.6" x14ac:dyDescent="0.3">
      <c r="A72" s="172" t="s">
        <v>497</v>
      </c>
    </row>
    <row r="73" spans="1:1" ht="30.6" x14ac:dyDescent="0.3">
      <c r="A73" s="214" t="s">
        <v>737</v>
      </c>
    </row>
    <row r="74" spans="1:1" ht="30.6" x14ac:dyDescent="0.3">
      <c r="A74" s="172" t="s">
        <v>498</v>
      </c>
    </row>
    <row r="75" spans="1:1" ht="30.6" x14ac:dyDescent="0.3">
      <c r="A75" s="172" t="s">
        <v>499</v>
      </c>
    </row>
    <row r="76" spans="1:1" ht="30.6" x14ac:dyDescent="0.3">
      <c r="A76" s="172" t="s">
        <v>500</v>
      </c>
    </row>
    <row r="77" spans="1:1" ht="15.6" x14ac:dyDescent="0.3">
      <c r="A77" s="172" t="s">
        <v>501</v>
      </c>
    </row>
    <row r="78" spans="1:1" ht="45.6" x14ac:dyDescent="0.3">
      <c r="A78" s="172" t="s">
        <v>502</v>
      </c>
    </row>
    <row r="79" spans="1:1" ht="15.6" x14ac:dyDescent="0.3">
      <c r="A79" s="172" t="s">
        <v>503</v>
      </c>
    </row>
    <row r="80" spans="1:1" ht="30.6" x14ac:dyDescent="0.3">
      <c r="A80" s="172" t="s">
        <v>504</v>
      </c>
    </row>
    <row r="81" spans="1:1" ht="30.6" x14ac:dyDescent="0.3">
      <c r="A81" s="172" t="s">
        <v>505</v>
      </c>
    </row>
    <row r="82" spans="1:1" ht="30.6" x14ac:dyDescent="0.3">
      <c r="A82" s="172" t="s">
        <v>506</v>
      </c>
    </row>
    <row r="83" spans="1:1" ht="30.6" x14ac:dyDescent="0.3">
      <c r="A83" s="172" t="s">
        <v>507</v>
      </c>
    </row>
    <row r="84" spans="1:1" ht="30.6" x14ac:dyDescent="0.3">
      <c r="A84" s="172" t="s">
        <v>508</v>
      </c>
    </row>
    <row r="85" spans="1:1" ht="15.6" x14ac:dyDescent="0.3">
      <c r="A85" s="172" t="s">
        <v>509</v>
      </c>
    </row>
  </sheetData>
  <sheetProtection algorithmName="SHA-512" hashValue="aTMNVMeBf428psFb+Erm5tou7MBDI+h7dwlg+pWo4Su1OMmeXZKKev4COsrEMhO9ur8mUjeyFSCX0KqKkoM3+g==" saltValue="iidFN5mhDv/0o9yOmIcNWQ==" spinCount="100000" sheet="1" objects="1" scenarios="1" selectLockedCells="1"/>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pageSetUpPr autoPageBreaks="0"/>
  </sheetPr>
  <dimension ref="A1:Z46"/>
  <sheetViews>
    <sheetView showGridLines="0" zoomScale="82" zoomScaleNormal="82" zoomScaleSheetLayoutView="40" workbookViewId="0"/>
  </sheetViews>
  <sheetFormatPr defaultColWidth="0" defaultRowHeight="15.6" zeroHeight="1" x14ac:dyDescent="0.3"/>
  <cols>
    <col min="1" max="1" width="2.6640625" style="264" customWidth="1"/>
    <col min="2" max="2" width="6.6640625" style="264" customWidth="1"/>
    <col min="3" max="3" width="10.109375" style="264" bestFit="1" customWidth="1"/>
    <col min="4" max="5" width="50.6640625" style="264" customWidth="1"/>
    <col min="6" max="6" width="37.109375" style="264" bestFit="1" customWidth="1"/>
    <col min="7" max="7" width="20.109375" style="264" customWidth="1"/>
    <col min="8" max="8" width="21.5546875" style="264" customWidth="1"/>
    <col min="9" max="9" width="20.33203125" style="264" customWidth="1"/>
    <col min="10" max="12" width="17.6640625" style="264" customWidth="1"/>
    <col min="13" max="13" width="17.5546875" style="264" hidden="1" customWidth="1"/>
    <col min="14" max="14" width="18.33203125" style="316" hidden="1" customWidth="1"/>
    <col min="15" max="15" width="18.6640625" style="316" hidden="1" customWidth="1"/>
    <col min="16" max="17" width="19" style="316" hidden="1" customWidth="1"/>
    <col min="18" max="19" width="18.44140625" style="316" hidden="1" customWidth="1"/>
    <col min="20" max="21" width="18.33203125" style="316" hidden="1" customWidth="1"/>
    <col min="22" max="22" width="18.109375" style="316" hidden="1" customWidth="1"/>
    <col min="23" max="23" width="18.44140625" style="316" hidden="1" customWidth="1"/>
    <col min="24" max="24" width="16.5546875" style="264" hidden="1" customWidth="1"/>
    <col min="25" max="26" width="22.109375" style="264" hidden="1" customWidth="1"/>
    <col min="27" max="16384" width="9.109375" style="264" hidden="1"/>
  </cols>
  <sheetData>
    <row r="1" spans="1:26" s="205" customFormat="1" ht="15" x14ac:dyDescent="0.25">
      <c r="A1" s="262" t="s">
        <v>756</v>
      </c>
      <c r="B1" s="263" t="s">
        <v>270</v>
      </c>
      <c r="C1" s="19"/>
      <c r="D1" s="19"/>
      <c r="E1" s="121"/>
      <c r="F1" s="17"/>
      <c r="G1" s="17"/>
      <c r="H1" s="19"/>
      <c r="I1" s="121"/>
      <c r="J1" s="17"/>
      <c r="K1" s="121"/>
      <c r="L1" s="280" t="s">
        <v>268</v>
      </c>
      <c r="M1" s="19"/>
      <c r="N1" s="19"/>
      <c r="O1" s="17"/>
      <c r="P1" s="17"/>
      <c r="Q1" s="17"/>
      <c r="R1" s="17"/>
      <c r="S1" s="17"/>
      <c r="T1" s="17"/>
      <c r="U1" s="17"/>
      <c r="V1" s="17"/>
      <c r="W1" s="17"/>
      <c r="X1" s="17"/>
      <c r="Y1" s="17"/>
      <c r="Z1" s="17"/>
    </row>
    <row r="2" spans="1:26" s="205" customFormat="1" thickBot="1" x14ac:dyDescent="0.3">
      <c r="A2" s="17"/>
      <c r="B2" s="266" t="s">
        <v>269</v>
      </c>
      <c r="C2" s="127"/>
      <c r="D2" s="127"/>
      <c r="E2" s="128"/>
      <c r="F2" s="127"/>
      <c r="G2" s="127"/>
      <c r="H2" s="127"/>
      <c r="I2" s="128"/>
      <c r="J2" s="127"/>
      <c r="K2" s="128"/>
      <c r="L2" s="128"/>
      <c r="M2" s="19"/>
      <c r="N2" s="19"/>
      <c r="O2" s="17"/>
      <c r="P2" s="17"/>
      <c r="Q2" s="17"/>
      <c r="R2" s="17"/>
      <c r="S2" s="17"/>
      <c r="T2" s="17"/>
      <c r="U2" s="17"/>
      <c r="V2" s="17"/>
      <c r="W2" s="17"/>
      <c r="X2" s="17"/>
      <c r="Y2" s="17"/>
      <c r="Z2" s="17"/>
    </row>
    <row r="3" spans="1:26" x14ac:dyDescent="0.3">
      <c r="A3" s="19"/>
      <c r="B3" s="8"/>
      <c r="C3" s="8"/>
      <c r="D3" s="8"/>
      <c r="E3" s="19"/>
      <c r="F3" s="19"/>
      <c r="G3" s="19"/>
      <c r="H3" s="19"/>
      <c r="I3" s="19"/>
      <c r="J3" s="19"/>
      <c r="K3" s="19"/>
      <c r="L3" s="19"/>
      <c r="M3" s="19"/>
      <c r="N3" s="124"/>
      <c r="O3" s="124"/>
      <c r="P3" s="124"/>
      <c r="Q3" s="124"/>
      <c r="R3" s="124"/>
      <c r="S3" s="124"/>
      <c r="T3" s="124"/>
      <c r="U3" s="124"/>
      <c r="V3" s="124"/>
      <c r="W3" s="124"/>
      <c r="X3" s="19"/>
      <c r="Y3" s="19"/>
      <c r="Z3" s="19"/>
    </row>
    <row r="4" spans="1:26" s="269" customFormat="1" ht="15" x14ac:dyDescent="0.25">
      <c r="A4" s="99"/>
      <c r="B4" s="270" t="s">
        <v>786</v>
      </c>
      <c r="C4" s="99"/>
      <c r="D4" s="99"/>
      <c r="E4" s="99"/>
      <c r="F4" s="99"/>
      <c r="G4" s="99"/>
      <c r="H4" s="99"/>
      <c r="I4" s="99"/>
      <c r="J4" s="99"/>
      <c r="K4" s="99"/>
      <c r="L4" s="99"/>
      <c r="M4" s="99"/>
      <c r="N4" s="99"/>
      <c r="O4" s="99"/>
      <c r="P4" s="99"/>
      <c r="Q4" s="99"/>
      <c r="R4" s="99"/>
      <c r="S4" s="99"/>
      <c r="T4" s="99"/>
      <c r="U4" s="99"/>
      <c r="V4" s="99"/>
      <c r="W4" s="99"/>
      <c r="X4" s="99"/>
      <c r="Y4" s="99"/>
      <c r="Z4" s="99"/>
    </row>
    <row r="5" spans="1:26" ht="17.399999999999999" x14ac:dyDescent="0.3">
      <c r="A5" s="19"/>
      <c r="B5" s="271" t="str">
        <f>'1. Information'!B5</f>
        <v>Annual Mental Health Services Act (MHSA) Revenue and Expenditure Report</v>
      </c>
      <c r="C5" s="1"/>
      <c r="D5" s="1"/>
      <c r="E5" s="1"/>
      <c r="F5" s="1"/>
      <c r="G5" s="1"/>
      <c r="H5" s="1"/>
      <c r="I5" s="19"/>
      <c r="J5" s="19"/>
      <c r="K5" s="19"/>
      <c r="L5" s="19"/>
      <c r="M5" s="19"/>
      <c r="N5" s="124"/>
      <c r="O5" s="124"/>
      <c r="P5" s="124"/>
      <c r="Q5" s="124"/>
      <c r="R5" s="124"/>
      <c r="S5" s="124"/>
      <c r="T5" s="124"/>
      <c r="U5" s="124"/>
      <c r="V5" s="124"/>
      <c r="W5" s="124"/>
      <c r="X5" s="19"/>
      <c r="Y5" s="19"/>
      <c r="Z5" s="19"/>
    </row>
    <row r="6" spans="1:26" ht="17.399999999999999" x14ac:dyDescent="0.3">
      <c r="A6" s="19"/>
      <c r="B6" s="271" t="str">
        <f>'1. Information'!B6</f>
        <v>Fiscal Year: 2023-24</v>
      </c>
      <c r="C6" s="1"/>
      <c r="D6" s="1"/>
      <c r="E6" s="1"/>
      <c r="F6" s="1"/>
      <c r="G6" s="1"/>
      <c r="H6" s="1"/>
      <c r="I6" s="19"/>
      <c r="J6" s="19"/>
      <c r="K6" s="19"/>
      <c r="L6" s="19"/>
      <c r="M6" s="19"/>
      <c r="N6" s="124"/>
      <c r="O6" s="124"/>
      <c r="P6" s="124"/>
      <c r="Q6" s="124"/>
      <c r="R6" s="124"/>
      <c r="S6" s="124"/>
      <c r="T6" s="124"/>
      <c r="U6" s="124"/>
      <c r="V6" s="124"/>
      <c r="W6" s="124"/>
      <c r="X6" s="19"/>
      <c r="Y6" s="19"/>
      <c r="Z6" s="19"/>
    </row>
    <row r="7" spans="1:26" ht="17.399999999999999" x14ac:dyDescent="0.3">
      <c r="A7" s="19"/>
      <c r="B7" s="271" t="s">
        <v>291</v>
      </c>
      <c r="C7" s="1"/>
      <c r="D7" s="1"/>
      <c r="E7" s="1"/>
      <c r="F7" s="1"/>
      <c r="G7" s="1"/>
      <c r="H7" s="1"/>
      <c r="I7" s="19"/>
      <c r="J7" s="19"/>
      <c r="K7" s="19"/>
      <c r="L7" s="19"/>
      <c r="M7" s="19"/>
      <c r="N7" s="124"/>
      <c r="O7" s="124"/>
      <c r="P7" s="124"/>
      <c r="Q7" s="124"/>
      <c r="R7" s="124"/>
      <c r="S7" s="124"/>
      <c r="T7" s="124"/>
      <c r="U7" s="124"/>
      <c r="V7" s="124"/>
      <c r="W7" s="124"/>
      <c r="X7" s="19"/>
      <c r="Y7" s="19"/>
      <c r="Z7" s="19"/>
    </row>
    <row r="8" spans="1:26" x14ac:dyDescent="0.3">
      <c r="A8" s="19"/>
      <c r="B8" s="19"/>
      <c r="C8" s="19"/>
      <c r="D8" s="10"/>
      <c r="E8" s="10"/>
      <c r="F8" s="10"/>
      <c r="G8" s="10"/>
      <c r="H8" s="10"/>
      <c r="I8" s="19"/>
      <c r="J8" s="19"/>
      <c r="K8" s="19"/>
      <c r="L8" s="19"/>
      <c r="M8" s="19"/>
      <c r="N8" s="124"/>
      <c r="O8" s="124"/>
      <c r="P8" s="124"/>
      <c r="Q8" s="124"/>
      <c r="R8" s="124"/>
      <c r="S8" s="124"/>
      <c r="T8" s="124"/>
      <c r="U8" s="124"/>
      <c r="V8" s="124"/>
      <c r="W8" s="124"/>
      <c r="X8" s="19"/>
      <c r="Y8" s="19"/>
      <c r="Z8" s="19"/>
    </row>
    <row r="9" spans="1:26" x14ac:dyDescent="0.3">
      <c r="A9" s="19"/>
      <c r="B9" s="335" t="s">
        <v>0</v>
      </c>
      <c r="C9" s="161"/>
      <c r="D9" s="461" t="str">
        <f>IF(ISBLANK('1. Information'!D11),"",'1. Information'!D11)</f>
        <v>Marin</v>
      </c>
      <c r="E9" s="4"/>
      <c r="F9" s="335" t="s">
        <v>1</v>
      </c>
      <c r="G9" s="210">
        <f>IF(ISBLANK('1. Information'!D9),"",'1. Information'!D9)</f>
        <v>45684</v>
      </c>
      <c r="H9" s="19"/>
      <c r="I9" s="19"/>
      <c r="J9" s="19"/>
      <c r="K9" s="19"/>
      <c r="L9" s="19"/>
      <c r="M9" s="19"/>
      <c r="N9" s="124"/>
      <c r="O9" s="124"/>
      <c r="P9" s="124"/>
      <c r="Q9" s="124"/>
      <c r="R9" s="124"/>
      <c r="S9" s="124"/>
      <c r="T9" s="124"/>
      <c r="U9" s="124"/>
      <c r="V9" s="124"/>
      <c r="W9" s="124"/>
      <c r="X9" s="19"/>
      <c r="Y9" s="19"/>
      <c r="Z9" s="19"/>
    </row>
    <row r="10" spans="1:26" x14ac:dyDescent="0.3">
      <c r="A10" s="19"/>
      <c r="B10" s="19"/>
      <c r="C10" s="2"/>
      <c r="D10" s="19"/>
      <c r="E10" s="2"/>
      <c r="F10" s="4"/>
      <c r="G10" s="2"/>
      <c r="H10" s="21"/>
      <c r="I10" s="19"/>
      <c r="J10" s="19"/>
      <c r="K10" s="19"/>
      <c r="L10" s="19"/>
      <c r="M10" s="124"/>
      <c r="N10" s="124"/>
      <c r="O10" s="124"/>
      <c r="P10" s="124"/>
      <c r="Q10" s="124"/>
      <c r="R10" s="124"/>
      <c r="S10" s="124"/>
      <c r="T10" s="124"/>
      <c r="U10" s="124"/>
      <c r="V10" s="124"/>
      <c r="W10" s="124"/>
      <c r="X10" s="19"/>
      <c r="Y10" s="19"/>
      <c r="Z10" s="19"/>
    </row>
    <row r="11" spans="1:26" ht="18" thickBot="1" x14ac:dyDescent="0.35">
      <c r="A11" s="19"/>
      <c r="B11" s="324" t="s">
        <v>211</v>
      </c>
      <c r="C11" s="135"/>
      <c r="D11" s="141"/>
      <c r="E11" s="135"/>
      <c r="F11" s="142"/>
      <c r="G11" s="135"/>
      <c r="H11" s="143"/>
      <c r="I11" s="141"/>
      <c r="J11" s="141"/>
      <c r="K11" s="141"/>
      <c r="L11" s="124"/>
      <c r="M11" s="124"/>
      <c r="N11" s="124"/>
      <c r="O11" s="124"/>
      <c r="P11" s="124"/>
      <c r="Q11" s="124"/>
      <c r="R11" s="124"/>
      <c r="S11" s="124"/>
      <c r="T11" s="124"/>
      <c r="U11" s="124"/>
      <c r="V11" s="124"/>
      <c r="W11" s="19"/>
      <c r="X11" s="19"/>
      <c r="Y11" s="19"/>
      <c r="Z11" s="19"/>
    </row>
    <row r="12" spans="1:26" ht="16.2" thickTop="1" x14ac:dyDescent="0.3">
      <c r="A12" s="19"/>
      <c r="B12" s="2"/>
      <c r="C12" s="2"/>
      <c r="D12" s="19"/>
      <c r="E12" s="2"/>
      <c r="F12" s="4"/>
      <c r="G12" s="2"/>
      <c r="H12" s="21"/>
      <c r="I12" s="19"/>
      <c r="J12" s="19"/>
      <c r="K12" s="19"/>
      <c r="L12" s="124"/>
      <c r="M12" s="124"/>
      <c r="N12" s="124"/>
      <c r="O12" s="124"/>
      <c r="P12" s="124"/>
      <c r="Q12" s="124"/>
      <c r="R12" s="124"/>
      <c r="S12" s="124"/>
      <c r="T12" s="124"/>
      <c r="U12" s="124"/>
      <c r="V12" s="19"/>
      <c r="W12" s="19"/>
      <c r="X12" s="19"/>
      <c r="Y12" s="19"/>
      <c r="Z12" s="19"/>
    </row>
    <row r="13" spans="1:26" x14ac:dyDescent="0.3">
      <c r="A13" s="19"/>
      <c r="B13" s="19"/>
      <c r="C13" s="2"/>
      <c r="D13" s="19"/>
      <c r="E13" s="2"/>
      <c r="F13" s="330" t="s">
        <v>22</v>
      </c>
      <c r="G13" s="286" t="s">
        <v>23</v>
      </c>
      <c r="H13" s="375" t="s">
        <v>25</v>
      </c>
      <c r="I13" s="330" t="s">
        <v>199</v>
      </c>
      <c r="J13" s="330" t="s">
        <v>200</v>
      </c>
      <c r="K13" s="330" t="s">
        <v>201</v>
      </c>
      <c r="L13" s="124"/>
      <c r="M13" s="124"/>
      <c r="N13" s="124"/>
      <c r="O13" s="124"/>
      <c r="P13" s="124"/>
      <c r="Q13" s="124"/>
      <c r="R13" s="124"/>
      <c r="S13" s="124"/>
      <c r="T13" s="124"/>
      <c r="U13" s="19"/>
      <c r="V13" s="19"/>
      <c r="W13" s="19"/>
      <c r="X13" s="19"/>
      <c r="Y13" s="19"/>
      <c r="Z13" s="19"/>
    </row>
    <row r="14" spans="1:26" ht="31.2" x14ac:dyDescent="0.3">
      <c r="A14" s="19"/>
      <c r="B14" s="19"/>
      <c r="C14" s="19"/>
      <c r="D14" s="2"/>
      <c r="E14" s="4"/>
      <c r="F14" s="377" t="s">
        <v>276</v>
      </c>
      <c r="G14" s="378" t="s">
        <v>4</v>
      </c>
      <c r="H14" s="378" t="s">
        <v>5</v>
      </c>
      <c r="I14" s="378" t="s">
        <v>24</v>
      </c>
      <c r="J14" s="378" t="s">
        <v>12</v>
      </c>
      <c r="K14" s="397" t="s">
        <v>216</v>
      </c>
      <c r="L14" s="124"/>
      <c r="M14" s="124"/>
      <c r="N14" s="124"/>
      <c r="O14" s="124"/>
      <c r="P14" s="124"/>
      <c r="Q14" s="124"/>
      <c r="R14" s="124"/>
      <c r="S14" s="124"/>
      <c r="T14" s="124"/>
      <c r="U14" s="19"/>
      <c r="V14" s="19"/>
      <c r="W14" s="19"/>
      <c r="X14" s="19"/>
      <c r="Y14" s="19"/>
      <c r="Z14" s="19"/>
    </row>
    <row r="15" spans="1:26" x14ac:dyDescent="0.3">
      <c r="A15" s="19"/>
      <c r="B15" s="400">
        <v>1</v>
      </c>
      <c r="C15" s="335" t="s">
        <v>300</v>
      </c>
      <c r="D15" s="133"/>
      <c r="E15" s="162"/>
      <c r="F15" s="185">
        <v>0</v>
      </c>
      <c r="G15" s="189"/>
      <c r="H15" s="189"/>
      <c r="I15" s="189"/>
      <c r="J15" s="189"/>
      <c r="K15" s="460">
        <f>SUM(F15:J15)</f>
        <v>0</v>
      </c>
      <c r="L15" s="124"/>
      <c r="M15" s="124"/>
      <c r="N15" s="124"/>
      <c r="O15" s="124"/>
      <c r="P15" s="124"/>
      <c r="Q15" s="124"/>
      <c r="R15" s="124"/>
      <c r="S15" s="124"/>
      <c r="T15" s="124"/>
      <c r="U15" s="19"/>
      <c r="V15" s="19"/>
      <c r="W15" s="19"/>
      <c r="X15" s="19"/>
      <c r="Y15" s="19"/>
      <c r="Z15" s="19"/>
    </row>
    <row r="16" spans="1:26" x14ac:dyDescent="0.3">
      <c r="A16" s="19"/>
      <c r="B16" s="400">
        <v>2</v>
      </c>
      <c r="C16" s="335" t="s">
        <v>301</v>
      </c>
      <c r="D16" s="133"/>
      <c r="E16" s="162"/>
      <c r="F16" s="185">
        <v>0</v>
      </c>
      <c r="G16" s="189"/>
      <c r="H16" s="189"/>
      <c r="I16" s="189"/>
      <c r="J16" s="189"/>
      <c r="K16" s="460">
        <f t="shared" ref="K16:K20" si="0">SUM(F16:J16)</f>
        <v>0</v>
      </c>
      <c r="L16" s="124"/>
      <c r="M16" s="124"/>
      <c r="N16" s="124"/>
      <c r="O16" s="124"/>
      <c r="P16" s="124"/>
      <c r="Q16" s="124"/>
      <c r="R16" s="124"/>
      <c r="S16" s="124"/>
      <c r="T16" s="124"/>
      <c r="U16" s="19"/>
      <c r="V16" s="19"/>
      <c r="W16" s="19"/>
      <c r="X16" s="19"/>
      <c r="Y16" s="19"/>
      <c r="Z16" s="19"/>
    </row>
    <row r="17" spans="1:26" x14ac:dyDescent="0.3">
      <c r="A17" s="19"/>
      <c r="B17" s="400">
        <v>3</v>
      </c>
      <c r="C17" s="335" t="s">
        <v>303</v>
      </c>
      <c r="D17" s="133"/>
      <c r="E17" s="162"/>
      <c r="F17" s="185">
        <f>79145.15+107776.49</f>
        <v>186921.64</v>
      </c>
      <c r="G17" s="189"/>
      <c r="H17" s="189"/>
      <c r="I17" s="189"/>
      <c r="J17" s="189"/>
      <c r="K17" s="460">
        <f t="shared" si="0"/>
        <v>186921.64</v>
      </c>
      <c r="L17" s="124"/>
      <c r="M17" s="124"/>
      <c r="N17" s="124"/>
      <c r="O17" s="124"/>
      <c r="P17" s="124"/>
      <c r="Q17" s="124"/>
      <c r="R17" s="124"/>
      <c r="S17" s="124"/>
      <c r="T17" s="124"/>
      <c r="U17" s="19"/>
      <c r="V17" s="19"/>
      <c r="W17" s="19"/>
      <c r="X17" s="19"/>
      <c r="Y17" s="19"/>
      <c r="Z17" s="19"/>
    </row>
    <row r="18" spans="1:26" s="205" customFormat="1" x14ac:dyDescent="0.3">
      <c r="A18" s="19"/>
      <c r="B18" s="400">
        <v>4</v>
      </c>
      <c r="C18" s="318" t="s">
        <v>510</v>
      </c>
      <c r="D18" s="137"/>
      <c r="E18" s="139"/>
      <c r="F18" s="189"/>
      <c r="G18" s="249"/>
      <c r="H18" s="248"/>
      <c r="I18" s="248"/>
      <c r="J18" s="248"/>
      <c r="K18" s="337">
        <f>F18</f>
        <v>0</v>
      </c>
      <c r="L18" s="124"/>
      <c r="M18" s="124"/>
      <c r="N18" s="19"/>
      <c r="O18" s="19"/>
      <c r="P18" s="17"/>
      <c r="Q18" s="17"/>
      <c r="R18" s="17"/>
      <c r="S18" s="17"/>
      <c r="T18" s="17"/>
      <c r="U18" s="17"/>
      <c r="V18" s="17"/>
      <c r="W18" s="17"/>
      <c r="X18" s="17"/>
      <c r="Y18" s="17"/>
      <c r="Z18" s="17"/>
    </row>
    <row r="19" spans="1:26" s="205" customFormat="1" x14ac:dyDescent="0.3">
      <c r="A19" s="19"/>
      <c r="B19" s="400">
        <v>5</v>
      </c>
      <c r="C19" s="318" t="s">
        <v>511</v>
      </c>
      <c r="D19" s="137"/>
      <c r="E19" s="139"/>
      <c r="F19" s="189"/>
      <c r="G19" s="250"/>
      <c r="H19" s="238"/>
      <c r="I19" s="238"/>
      <c r="J19" s="238"/>
      <c r="K19" s="337">
        <f>F19</f>
        <v>0</v>
      </c>
      <c r="L19" s="124"/>
      <c r="M19" s="124"/>
      <c r="N19" s="19"/>
      <c r="O19" s="19"/>
      <c r="P19" s="17"/>
      <c r="Q19" s="17"/>
      <c r="R19" s="17"/>
      <c r="S19" s="17"/>
      <c r="T19" s="17"/>
      <c r="U19" s="17"/>
      <c r="V19" s="17"/>
      <c r="W19" s="17"/>
      <c r="X19" s="17"/>
      <c r="Y19" s="17"/>
      <c r="Z19" s="17"/>
    </row>
    <row r="20" spans="1:26" x14ac:dyDescent="0.3">
      <c r="A20" s="19"/>
      <c r="B20" s="400">
        <v>6</v>
      </c>
      <c r="C20" s="335" t="s">
        <v>302</v>
      </c>
      <c r="D20" s="133"/>
      <c r="E20" s="136"/>
      <c r="F20" s="453">
        <f>SUM(G27:G46)</f>
        <v>1139024.3</v>
      </c>
      <c r="G20" s="453">
        <f>SUM(H27:H46)</f>
        <v>0</v>
      </c>
      <c r="H20" s="452">
        <f t="shared" ref="H20" si="1">SUM(I27:I46)</f>
        <v>0</v>
      </c>
      <c r="I20" s="452">
        <f>SUM(J27:J46)</f>
        <v>0</v>
      </c>
      <c r="J20" s="382">
        <f>SUM(K27:K46)</f>
        <v>0</v>
      </c>
      <c r="K20" s="460">
        <f t="shared" si="0"/>
        <v>1139024.3</v>
      </c>
      <c r="L20" s="124"/>
      <c r="M20" s="124"/>
      <c r="N20" s="124"/>
      <c r="O20" s="124"/>
      <c r="P20" s="124"/>
      <c r="Q20" s="124"/>
      <c r="R20" s="124"/>
      <c r="S20" s="124"/>
      <c r="T20" s="124"/>
      <c r="U20" s="19"/>
      <c r="V20" s="19"/>
      <c r="W20" s="19"/>
      <c r="X20" s="19"/>
      <c r="Y20" s="19"/>
      <c r="Z20" s="19"/>
    </row>
    <row r="21" spans="1:26" ht="30.9" customHeight="1" x14ac:dyDescent="0.3">
      <c r="A21" s="19"/>
      <c r="B21" s="400">
        <v>7</v>
      </c>
      <c r="C21" s="462" t="s">
        <v>593</v>
      </c>
      <c r="D21" s="163"/>
      <c r="E21" s="164"/>
      <c r="F21" s="384">
        <f>SUM(F15:F17,F19:F20)</f>
        <v>1325945.94</v>
      </c>
      <c r="G21" s="347">
        <f>SUM(G15:G17,G20)</f>
        <v>0</v>
      </c>
      <c r="H21" s="347">
        <f t="shared" ref="H21:J21" si="2">SUM(H15:H17,H20)</f>
        <v>0</v>
      </c>
      <c r="I21" s="347">
        <f t="shared" si="2"/>
        <v>0</v>
      </c>
      <c r="J21" s="347">
        <f t="shared" si="2"/>
        <v>0</v>
      </c>
      <c r="K21" s="346">
        <f>SUM(F21:J21)</f>
        <v>1325945.94</v>
      </c>
      <c r="L21" s="124"/>
      <c r="M21" s="124"/>
      <c r="N21" s="124"/>
      <c r="O21" s="124"/>
      <c r="P21" s="124"/>
      <c r="Q21" s="124"/>
      <c r="R21" s="124"/>
      <c r="S21" s="124"/>
      <c r="T21" s="124"/>
      <c r="U21" s="19"/>
      <c r="V21" s="19"/>
      <c r="W21" s="19"/>
      <c r="X21" s="19"/>
      <c r="Y21" s="19"/>
      <c r="Z21" s="19"/>
    </row>
    <row r="22" spans="1:26" s="205" customFormat="1" x14ac:dyDescent="0.3">
      <c r="A22" s="17"/>
      <c r="B22" s="17"/>
      <c r="C22" s="17"/>
      <c r="D22" s="17"/>
      <c r="E22" s="17"/>
      <c r="F22" s="17"/>
      <c r="G22" s="17"/>
      <c r="H22" s="17"/>
      <c r="I22" s="17"/>
      <c r="J22" s="17"/>
      <c r="K22" s="17"/>
      <c r="L22" s="17"/>
      <c r="M22" s="17"/>
      <c r="N22" s="124"/>
      <c r="O22" s="124"/>
      <c r="P22" s="124"/>
      <c r="Q22" s="124"/>
      <c r="R22" s="124"/>
      <c r="S22" s="124"/>
      <c r="T22" s="124"/>
      <c r="U22" s="124"/>
      <c r="V22" s="124"/>
      <c r="W22" s="124"/>
      <c r="X22" s="17"/>
      <c r="Y22" s="17"/>
      <c r="Z22" s="17"/>
    </row>
    <row r="23" spans="1:26" ht="18" thickBot="1" x14ac:dyDescent="0.35">
      <c r="A23" s="19"/>
      <c r="B23" s="463" t="s">
        <v>212</v>
      </c>
      <c r="C23" s="141"/>
      <c r="D23" s="165"/>
      <c r="E23" s="165"/>
      <c r="F23" s="165"/>
      <c r="G23" s="165"/>
      <c r="H23" s="144"/>
      <c r="I23" s="141"/>
      <c r="J23" s="141"/>
      <c r="K23" s="141"/>
      <c r="L23" s="141"/>
      <c r="M23" s="124"/>
      <c r="N23" s="124"/>
      <c r="O23" s="124"/>
      <c r="P23" s="124"/>
      <c r="Q23" s="124"/>
      <c r="R23" s="124"/>
      <c r="S23" s="124"/>
      <c r="T23" s="124"/>
      <c r="U23" s="124"/>
      <c r="V23" s="124"/>
      <c r="W23" s="19"/>
      <c r="X23" s="19"/>
      <c r="Y23" s="19"/>
      <c r="Z23" s="19"/>
    </row>
    <row r="24" spans="1:26" ht="16.2" thickTop="1" x14ac:dyDescent="0.3">
      <c r="A24" s="19"/>
      <c r="B24" s="19"/>
      <c r="C24" s="160"/>
      <c r="D24" s="160"/>
      <c r="E24" s="160"/>
      <c r="F24" s="160"/>
      <c r="G24" s="20"/>
      <c r="H24" s="19"/>
      <c r="I24" s="19"/>
      <c r="J24" s="19"/>
      <c r="K24" s="19"/>
      <c r="L24" s="19"/>
      <c r="M24" s="124"/>
      <c r="N24" s="124"/>
      <c r="O24" s="124"/>
      <c r="P24" s="124"/>
      <c r="Q24" s="124"/>
      <c r="R24" s="124"/>
      <c r="S24" s="124"/>
      <c r="T24" s="124"/>
      <c r="U24" s="124"/>
      <c r="V24" s="124"/>
      <c r="W24" s="19"/>
      <c r="X24" s="19"/>
      <c r="Y24" s="19"/>
      <c r="Z24" s="19"/>
    </row>
    <row r="25" spans="1:26" x14ac:dyDescent="0.3">
      <c r="A25" s="19"/>
      <c r="B25" s="19"/>
      <c r="C25" s="286" t="s">
        <v>22</v>
      </c>
      <c r="D25" s="286" t="s">
        <v>23</v>
      </c>
      <c r="E25" s="286" t="s">
        <v>25</v>
      </c>
      <c r="F25" s="286" t="s">
        <v>199</v>
      </c>
      <c r="G25" s="330" t="s">
        <v>200</v>
      </c>
      <c r="H25" s="400" t="s">
        <v>201</v>
      </c>
      <c r="I25" s="400" t="s">
        <v>210</v>
      </c>
      <c r="J25" s="400" t="s">
        <v>202</v>
      </c>
      <c r="K25" s="400" t="s">
        <v>203</v>
      </c>
      <c r="L25" s="330" t="s">
        <v>204</v>
      </c>
      <c r="M25" s="124"/>
      <c r="N25" s="124"/>
      <c r="O25" s="124"/>
      <c r="P25" s="124"/>
      <c r="Q25" s="124"/>
      <c r="R25" s="124"/>
      <c r="S25" s="124"/>
      <c r="T25" s="124"/>
      <c r="U25" s="19"/>
      <c r="V25" s="19"/>
      <c r="W25" s="19"/>
      <c r="X25" s="19"/>
      <c r="Y25" s="19"/>
      <c r="Z25" s="19"/>
    </row>
    <row r="26" spans="1:26" ht="69" customHeight="1" x14ac:dyDescent="0.3">
      <c r="A26" s="19"/>
      <c r="B26" s="455" t="s">
        <v>117</v>
      </c>
      <c r="C26" s="455" t="s">
        <v>165</v>
      </c>
      <c r="D26" s="395" t="s">
        <v>10</v>
      </c>
      <c r="E26" s="395" t="s">
        <v>15</v>
      </c>
      <c r="F26" s="395" t="s">
        <v>16</v>
      </c>
      <c r="G26" s="377" t="s">
        <v>276</v>
      </c>
      <c r="H26" s="456" t="s">
        <v>4</v>
      </c>
      <c r="I26" s="457" t="s">
        <v>5</v>
      </c>
      <c r="J26" s="457" t="s">
        <v>24</v>
      </c>
      <c r="K26" s="457" t="s">
        <v>12</v>
      </c>
      <c r="L26" s="397" t="s">
        <v>216</v>
      </c>
      <c r="M26" s="124"/>
      <c r="N26" s="124"/>
      <c r="O26" s="124"/>
      <c r="P26" s="124"/>
      <c r="Q26" s="124"/>
      <c r="R26" s="124"/>
      <c r="S26" s="124"/>
      <c r="T26" s="124"/>
      <c r="U26" s="19"/>
      <c r="V26" s="19"/>
      <c r="W26" s="19"/>
      <c r="X26" s="19"/>
      <c r="Y26" s="19"/>
      <c r="Z26" s="19"/>
    </row>
    <row r="27" spans="1:26" ht="30.6" x14ac:dyDescent="0.3">
      <c r="A27" s="19"/>
      <c r="B27" s="400">
        <v>8</v>
      </c>
      <c r="C27" s="401">
        <f t="shared" ref="C27:C46" si="3">IF(L27&lt;&gt;0,VLOOKUP($D$9,Info_County_Code,2,FALSE),"")</f>
        <v>21</v>
      </c>
      <c r="D27" s="186" t="s">
        <v>797</v>
      </c>
      <c r="E27" s="364"/>
      <c r="F27" s="187" t="s">
        <v>152</v>
      </c>
      <c r="G27" s="185">
        <v>1041566.3</v>
      </c>
      <c r="H27" s="189"/>
      <c r="I27" s="189"/>
      <c r="J27" s="189"/>
      <c r="K27" s="189"/>
      <c r="L27" s="460">
        <f>SUM(G27:K27)</f>
        <v>1041566.3</v>
      </c>
      <c r="M27" s="124"/>
      <c r="N27" s="124"/>
      <c r="O27" s="124"/>
      <c r="P27" s="124"/>
      <c r="Q27" s="124"/>
      <c r="R27" s="124"/>
      <c r="S27" s="124"/>
      <c r="T27" s="124"/>
      <c r="U27" s="19"/>
      <c r="V27" s="19"/>
      <c r="W27" s="19"/>
      <c r="X27" s="19"/>
      <c r="Y27" s="19"/>
      <c r="Z27" s="19"/>
    </row>
    <row r="28" spans="1:26" x14ac:dyDescent="0.3">
      <c r="A28" s="19"/>
      <c r="B28" s="400">
        <v>9</v>
      </c>
      <c r="C28" s="401">
        <f t="shared" si="3"/>
        <v>21</v>
      </c>
      <c r="D28" s="186" t="s">
        <v>798</v>
      </c>
      <c r="E28" s="364"/>
      <c r="F28" s="187" t="s">
        <v>152</v>
      </c>
      <c r="G28" s="185">
        <v>32000</v>
      </c>
      <c r="H28" s="189"/>
      <c r="I28" s="189"/>
      <c r="J28" s="189"/>
      <c r="K28" s="189"/>
      <c r="L28" s="460">
        <f t="shared" ref="L28:L46" si="4">SUM(G28:K28)</f>
        <v>32000</v>
      </c>
      <c r="M28" s="124"/>
      <c r="N28" s="124"/>
      <c r="O28" s="124"/>
      <c r="P28" s="124"/>
      <c r="Q28" s="124"/>
      <c r="R28" s="124"/>
      <c r="S28" s="124"/>
      <c r="T28" s="124"/>
      <c r="U28" s="19"/>
      <c r="V28" s="19"/>
      <c r="W28" s="19"/>
      <c r="X28" s="19"/>
      <c r="Y28" s="19"/>
      <c r="Z28" s="19"/>
    </row>
    <row r="29" spans="1:26" x14ac:dyDescent="0.3">
      <c r="A29" s="19"/>
      <c r="B29" s="400">
        <v>10</v>
      </c>
      <c r="C29" s="401">
        <f t="shared" si="3"/>
        <v>21</v>
      </c>
      <c r="D29" s="186" t="s">
        <v>799</v>
      </c>
      <c r="E29" s="364"/>
      <c r="F29" s="187" t="s">
        <v>152</v>
      </c>
      <c r="G29" s="185">
        <v>65458</v>
      </c>
      <c r="H29" s="189"/>
      <c r="I29" s="189"/>
      <c r="J29" s="189"/>
      <c r="K29" s="189"/>
      <c r="L29" s="460">
        <f t="shared" si="4"/>
        <v>65458</v>
      </c>
      <c r="M29" s="124"/>
      <c r="N29" s="124"/>
      <c r="O29" s="124"/>
      <c r="P29" s="124"/>
      <c r="Q29" s="124"/>
      <c r="R29" s="124"/>
      <c r="S29" s="124"/>
      <c r="T29" s="124"/>
      <c r="U29" s="19"/>
      <c r="V29" s="19"/>
      <c r="W29" s="19"/>
      <c r="X29" s="19"/>
      <c r="Y29" s="19"/>
      <c r="Z29" s="19"/>
    </row>
    <row r="30" spans="1:26" x14ac:dyDescent="0.3">
      <c r="A30" s="19"/>
      <c r="B30" s="156">
        <v>11</v>
      </c>
      <c r="C30" s="240" t="str">
        <f t="shared" si="3"/>
        <v/>
      </c>
      <c r="D30" s="364"/>
      <c r="E30" s="364"/>
      <c r="F30" s="365"/>
      <c r="G30" s="189"/>
      <c r="H30" s="189"/>
      <c r="I30" s="189"/>
      <c r="J30" s="189"/>
      <c r="K30" s="189"/>
      <c r="L30" s="250">
        <f t="shared" si="4"/>
        <v>0</v>
      </c>
      <c r="M30" s="124"/>
      <c r="N30" s="124"/>
      <c r="O30" s="124"/>
      <c r="P30" s="124"/>
      <c r="Q30" s="124"/>
      <c r="R30" s="124"/>
      <c r="S30" s="124"/>
      <c r="T30" s="124"/>
      <c r="U30" s="19"/>
      <c r="V30" s="19"/>
      <c r="W30" s="19"/>
      <c r="X30" s="19"/>
      <c r="Y30" s="19"/>
      <c r="Z30" s="19"/>
    </row>
    <row r="31" spans="1:26" x14ac:dyDescent="0.3">
      <c r="A31" s="19"/>
      <c r="B31" s="156">
        <v>12</v>
      </c>
      <c r="C31" s="240" t="str">
        <f t="shared" si="3"/>
        <v/>
      </c>
      <c r="D31" s="364"/>
      <c r="E31" s="364"/>
      <c r="F31" s="365"/>
      <c r="G31" s="189"/>
      <c r="H31" s="189"/>
      <c r="I31" s="189"/>
      <c r="J31" s="189"/>
      <c r="K31" s="189"/>
      <c r="L31" s="250">
        <f t="shared" si="4"/>
        <v>0</v>
      </c>
      <c r="M31" s="124"/>
      <c r="N31" s="124"/>
      <c r="O31" s="124"/>
      <c r="P31" s="124"/>
      <c r="Q31" s="124"/>
      <c r="R31" s="124"/>
      <c r="S31" s="124"/>
      <c r="T31" s="124"/>
      <c r="U31" s="19"/>
      <c r="V31" s="19"/>
      <c r="W31" s="19"/>
      <c r="X31" s="19"/>
      <c r="Y31" s="19"/>
      <c r="Z31" s="19"/>
    </row>
    <row r="32" spans="1:26" x14ac:dyDescent="0.3">
      <c r="A32" s="19"/>
      <c r="B32" s="156">
        <v>13</v>
      </c>
      <c r="C32" s="240" t="str">
        <f t="shared" si="3"/>
        <v/>
      </c>
      <c r="D32" s="364"/>
      <c r="E32" s="364"/>
      <c r="F32" s="365"/>
      <c r="G32" s="189"/>
      <c r="H32" s="189"/>
      <c r="I32" s="189"/>
      <c r="J32" s="189"/>
      <c r="K32" s="189"/>
      <c r="L32" s="250">
        <f t="shared" si="4"/>
        <v>0</v>
      </c>
      <c r="M32" s="124"/>
      <c r="N32" s="124"/>
      <c r="O32" s="124"/>
      <c r="P32" s="124"/>
      <c r="Q32" s="124"/>
      <c r="R32" s="124"/>
      <c r="S32" s="124"/>
      <c r="T32" s="124"/>
      <c r="U32" s="19"/>
      <c r="V32" s="19"/>
      <c r="W32" s="19"/>
      <c r="X32" s="19"/>
      <c r="Y32" s="19"/>
      <c r="Z32" s="19"/>
    </row>
    <row r="33" spans="1:26" x14ac:dyDescent="0.3">
      <c r="A33" s="19"/>
      <c r="B33" s="156">
        <v>14</v>
      </c>
      <c r="C33" s="240" t="str">
        <f t="shared" si="3"/>
        <v/>
      </c>
      <c r="D33" s="364"/>
      <c r="E33" s="364"/>
      <c r="F33" s="365"/>
      <c r="G33" s="189"/>
      <c r="H33" s="189"/>
      <c r="I33" s="189"/>
      <c r="J33" s="189"/>
      <c r="K33" s="189"/>
      <c r="L33" s="250">
        <f t="shared" si="4"/>
        <v>0</v>
      </c>
      <c r="M33" s="124"/>
      <c r="N33" s="124"/>
      <c r="O33" s="124"/>
      <c r="P33" s="124"/>
      <c r="Q33" s="124"/>
      <c r="R33" s="124"/>
      <c r="S33" s="124"/>
      <c r="T33" s="124"/>
      <c r="U33" s="19"/>
      <c r="V33" s="19"/>
      <c r="W33" s="19"/>
      <c r="X33" s="19"/>
      <c r="Y33" s="19"/>
      <c r="Z33" s="19"/>
    </row>
    <row r="34" spans="1:26" x14ac:dyDescent="0.3">
      <c r="A34" s="19"/>
      <c r="B34" s="156">
        <v>15</v>
      </c>
      <c r="C34" s="240" t="str">
        <f t="shared" si="3"/>
        <v/>
      </c>
      <c r="D34" s="364"/>
      <c r="E34" s="364"/>
      <c r="F34" s="365"/>
      <c r="G34" s="189"/>
      <c r="H34" s="189"/>
      <c r="I34" s="189"/>
      <c r="J34" s="189"/>
      <c r="K34" s="189"/>
      <c r="L34" s="250">
        <f t="shared" si="4"/>
        <v>0</v>
      </c>
      <c r="M34" s="124"/>
      <c r="N34" s="124"/>
      <c r="O34" s="124"/>
      <c r="P34" s="124"/>
      <c r="Q34" s="124"/>
      <c r="R34" s="124"/>
      <c r="S34" s="124"/>
      <c r="T34" s="124"/>
      <c r="U34" s="19"/>
      <c r="V34" s="19"/>
      <c r="W34" s="19"/>
      <c r="X34" s="19"/>
      <c r="Y34" s="19"/>
      <c r="Z34" s="19"/>
    </row>
    <row r="35" spans="1:26" x14ac:dyDescent="0.3">
      <c r="A35" s="19"/>
      <c r="B35" s="156">
        <v>16</v>
      </c>
      <c r="C35" s="240" t="str">
        <f t="shared" si="3"/>
        <v/>
      </c>
      <c r="D35" s="364"/>
      <c r="E35" s="364"/>
      <c r="F35" s="365"/>
      <c r="G35" s="189"/>
      <c r="H35" s="189"/>
      <c r="I35" s="189"/>
      <c r="J35" s="189"/>
      <c r="K35" s="189"/>
      <c r="L35" s="250">
        <f t="shared" si="4"/>
        <v>0</v>
      </c>
      <c r="M35" s="124"/>
      <c r="N35" s="124"/>
      <c r="O35" s="124"/>
      <c r="P35" s="124"/>
      <c r="Q35" s="124"/>
      <c r="R35" s="124"/>
      <c r="S35" s="124"/>
      <c r="T35" s="124"/>
      <c r="U35" s="19"/>
      <c r="V35" s="19"/>
      <c r="W35" s="19"/>
      <c r="X35" s="19"/>
      <c r="Y35" s="19"/>
      <c r="Z35" s="19"/>
    </row>
    <row r="36" spans="1:26" x14ac:dyDescent="0.3">
      <c r="A36" s="19"/>
      <c r="B36" s="156">
        <v>17</v>
      </c>
      <c r="C36" s="240" t="str">
        <f t="shared" si="3"/>
        <v/>
      </c>
      <c r="D36" s="364"/>
      <c r="E36" s="364"/>
      <c r="F36" s="365"/>
      <c r="G36" s="189"/>
      <c r="H36" s="189"/>
      <c r="I36" s="189"/>
      <c r="J36" s="189"/>
      <c r="K36" s="189"/>
      <c r="L36" s="250">
        <f t="shared" si="4"/>
        <v>0</v>
      </c>
      <c r="M36" s="124"/>
      <c r="N36" s="124"/>
      <c r="O36" s="124"/>
      <c r="P36" s="124"/>
      <c r="Q36" s="124"/>
      <c r="R36" s="124"/>
      <c r="S36" s="124"/>
      <c r="T36" s="124"/>
      <c r="U36" s="19"/>
      <c r="V36" s="19"/>
      <c r="W36" s="19"/>
      <c r="X36" s="19"/>
      <c r="Y36" s="19"/>
      <c r="Z36" s="19"/>
    </row>
    <row r="37" spans="1:26" x14ac:dyDescent="0.3">
      <c r="A37" s="19"/>
      <c r="B37" s="156">
        <v>18</v>
      </c>
      <c r="C37" s="240" t="str">
        <f t="shared" si="3"/>
        <v/>
      </c>
      <c r="D37" s="364"/>
      <c r="E37" s="364"/>
      <c r="F37" s="365"/>
      <c r="G37" s="189"/>
      <c r="H37" s="189"/>
      <c r="I37" s="189"/>
      <c r="J37" s="189"/>
      <c r="K37" s="189"/>
      <c r="L37" s="250">
        <f t="shared" si="4"/>
        <v>0</v>
      </c>
      <c r="M37" s="124"/>
      <c r="N37" s="124"/>
      <c r="O37" s="124"/>
      <c r="P37" s="124"/>
      <c r="Q37" s="124"/>
      <c r="R37" s="124"/>
      <c r="S37" s="124"/>
      <c r="T37" s="124"/>
      <c r="U37" s="19"/>
      <c r="V37" s="19"/>
      <c r="W37" s="19"/>
      <c r="X37" s="19"/>
      <c r="Y37" s="19"/>
      <c r="Z37" s="19"/>
    </row>
    <row r="38" spans="1:26" x14ac:dyDescent="0.3">
      <c r="A38" s="19"/>
      <c r="B38" s="156">
        <v>19</v>
      </c>
      <c r="C38" s="240" t="str">
        <f t="shared" si="3"/>
        <v/>
      </c>
      <c r="D38" s="364"/>
      <c r="E38" s="364"/>
      <c r="F38" s="365"/>
      <c r="G38" s="189"/>
      <c r="H38" s="189"/>
      <c r="I38" s="189"/>
      <c r="J38" s="189"/>
      <c r="K38" s="189"/>
      <c r="L38" s="250">
        <f t="shared" si="4"/>
        <v>0</v>
      </c>
      <c r="M38" s="124"/>
      <c r="N38" s="124"/>
      <c r="O38" s="124"/>
      <c r="P38" s="124"/>
      <c r="Q38" s="124"/>
      <c r="R38" s="124"/>
      <c r="S38" s="124"/>
      <c r="T38" s="124"/>
      <c r="U38" s="19"/>
      <c r="V38" s="19"/>
      <c r="W38" s="19"/>
      <c r="X38" s="19"/>
      <c r="Y38" s="19"/>
      <c r="Z38" s="19"/>
    </row>
    <row r="39" spans="1:26" x14ac:dyDescent="0.3">
      <c r="A39" s="19"/>
      <c r="B39" s="156">
        <v>20</v>
      </c>
      <c r="C39" s="240" t="str">
        <f t="shared" si="3"/>
        <v/>
      </c>
      <c r="D39" s="364"/>
      <c r="E39" s="364"/>
      <c r="F39" s="365"/>
      <c r="G39" s="189"/>
      <c r="H39" s="189"/>
      <c r="I39" s="189"/>
      <c r="J39" s="189"/>
      <c r="K39" s="189"/>
      <c r="L39" s="250">
        <f t="shared" si="4"/>
        <v>0</v>
      </c>
      <c r="M39" s="124"/>
      <c r="N39" s="124"/>
      <c r="O39" s="124"/>
      <c r="P39" s="124"/>
      <c r="Q39" s="124"/>
      <c r="R39" s="124"/>
      <c r="S39" s="124"/>
      <c r="T39" s="124"/>
      <c r="U39" s="19"/>
      <c r="V39" s="19"/>
      <c r="W39" s="19"/>
      <c r="X39" s="19"/>
      <c r="Y39" s="19"/>
      <c r="Z39" s="19"/>
    </row>
    <row r="40" spans="1:26" x14ac:dyDescent="0.3">
      <c r="A40" s="19"/>
      <c r="B40" s="156">
        <v>21</v>
      </c>
      <c r="C40" s="240" t="str">
        <f t="shared" si="3"/>
        <v/>
      </c>
      <c r="D40" s="364"/>
      <c r="E40" s="364"/>
      <c r="F40" s="365"/>
      <c r="G40" s="189"/>
      <c r="H40" s="189"/>
      <c r="I40" s="189"/>
      <c r="J40" s="189"/>
      <c r="K40" s="189"/>
      <c r="L40" s="250">
        <f t="shared" si="4"/>
        <v>0</v>
      </c>
      <c r="M40" s="124"/>
      <c r="N40" s="124"/>
      <c r="O40" s="124"/>
      <c r="P40" s="124"/>
      <c r="Q40" s="124"/>
      <c r="R40" s="124"/>
      <c r="S40" s="124"/>
      <c r="T40" s="124"/>
      <c r="U40" s="19"/>
      <c r="V40" s="19"/>
      <c r="W40" s="19"/>
      <c r="X40" s="19"/>
      <c r="Y40" s="19"/>
      <c r="Z40" s="19"/>
    </row>
    <row r="41" spans="1:26" x14ac:dyDescent="0.3">
      <c r="A41" s="19"/>
      <c r="B41" s="156">
        <v>22</v>
      </c>
      <c r="C41" s="240" t="str">
        <f t="shared" si="3"/>
        <v/>
      </c>
      <c r="D41" s="364"/>
      <c r="E41" s="364"/>
      <c r="F41" s="365"/>
      <c r="G41" s="189"/>
      <c r="H41" s="189"/>
      <c r="I41" s="189"/>
      <c r="J41" s="189"/>
      <c r="K41" s="189"/>
      <c r="L41" s="250">
        <f t="shared" si="4"/>
        <v>0</v>
      </c>
      <c r="M41" s="124"/>
      <c r="N41" s="124"/>
      <c r="O41" s="124"/>
      <c r="P41" s="124"/>
      <c r="Q41" s="124"/>
      <c r="R41" s="124"/>
      <c r="S41" s="124"/>
      <c r="T41" s="124"/>
      <c r="U41" s="19"/>
      <c r="V41" s="19"/>
      <c r="W41" s="19"/>
      <c r="X41" s="19"/>
      <c r="Y41" s="19"/>
      <c r="Z41" s="19"/>
    </row>
    <row r="42" spans="1:26" x14ac:dyDescent="0.3">
      <c r="A42" s="19"/>
      <c r="B42" s="156">
        <v>23</v>
      </c>
      <c r="C42" s="240" t="str">
        <f t="shared" si="3"/>
        <v/>
      </c>
      <c r="D42" s="364"/>
      <c r="E42" s="364"/>
      <c r="F42" s="365"/>
      <c r="G42" s="189"/>
      <c r="H42" s="189"/>
      <c r="I42" s="189"/>
      <c r="J42" s="189"/>
      <c r="K42" s="189"/>
      <c r="L42" s="250">
        <f t="shared" si="4"/>
        <v>0</v>
      </c>
      <c r="M42" s="124"/>
      <c r="N42" s="124"/>
      <c r="O42" s="124"/>
      <c r="P42" s="124"/>
      <c r="Q42" s="124"/>
      <c r="R42" s="124"/>
      <c r="S42" s="124"/>
      <c r="T42" s="124"/>
      <c r="U42" s="19"/>
      <c r="V42" s="19"/>
      <c r="W42" s="19"/>
      <c r="X42" s="19"/>
      <c r="Y42" s="19"/>
      <c r="Z42" s="19"/>
    </row>
    <row r="43" spans="1:26" x14ac:dyDescent="0.3">
      <c r="A43" s="19"/>
      <c r="B43" s="156">
        <v>24</v>
      </c>
      <c r="C43" s="240" t="str">
        <f t="shared" si="3"/>
        <v/>
      </c>
      <c r="D43" s="364"/>
      <c r="E43" s="364"/>
      <c r="F43" s="365"/>
      <c r="G43" s="189"/>
      <c r="H43" s="189"/>
      <c r="I43" s="189"/>
      <c r="J43" s="189"/>
      <c r="K43" s="189"/>
      <c r="L43" s="250">
        <f t="shared" si="4"/>
        <v>0</v>
      </c>
      <c r="M43" s="124"/>
      <c r="N43" s="124"/>
      <c r="O43" s="124"/>
      <c r="P43" s="124"/>
      <c r="Q43" s="124"/>
      <c r="R43" s="124"/>
      <c r="S43" s="124"/>
      <c r="T43" s="124"/>
      <c r="U43" s="19"/>
      <c r="V43" s="19"/>
      <c r="W43" s="19"/>
      <c r="X43" s="19"/>
      <c r="Y43" s="19"/>
      <c r="Z43" s="19"/>
    </row>
    <row r="44" spans="1:26" x14ac:dyDescent="0.3">
      <c r="A44" s="19"/>
      <c r="B44" s="156">
        <v>25</v>
      </c>
      <c r="C44" s="240" t="str">
        <f t="shared" si="3"/>
        <v/>
      </c>
      <c r="D44" s="364"/>
      <c r="E44" s="364"/>
      <c r="F44" s="365"/>
      <c r="G44" s="189"/>
      <c r="H44" s="189"/>
      <c r="I44" s="189"/>
      <c r="J44" s="189"/>
      <c r="K44" s="189"/>
      <c r="L44" s="250">
        <f t="shared" si="4"/>
        <v>0</v>
      </c>
      <c r="M44" s="124"/>
      <c r="N44" s="124"/>
      <c r="O44" s="124"/>
      <c r="P44" s="124"/>
      <c r="Q44" s="124"/>
      <c r="R44" s="124"/>
      <c r="S44" s="124"/>
      <c r="T44" s="124"/>
      <c r="U44" s="19"/>
      <c r="V44" s="19"/>
      <c r="W44" s="19"/>
      <c r="X44" s="19"/>
      <c r="Y44" s="19"/>
      <c r="Z44" s="19"/>
    </row>
    <row r="45" spans="1:26" x14ac:dyDescent="0.3">
      <c r="A45" s="19"/>
      <c r="B45" s="156">
        <v>26</v>
      </c>
      <c r="C45" s="240" t="str">
        <f t="shared" si="3"/>
        <v/>
      </c>
      <c r="D45" s="364"/>
      <c r="E45" s="364"/>
      <c r="F45" s="365"/>
      <c r="G45" s="189"/>
      <c r="H45" s="189"/>
      <c r="I45" s="189"/>
      <c r="J45" s="189"/>
      <c r="K45" s="189"/>
      <c r="L45" s="250">
        <f t="shared" si="4"/>
        <v>0</v>
      </c>
      <c r="M45" s="124"/>
      <c r="N45" s="124"/>
      <c r="O45" s="124"/>
      <c r="P45" s="124"/>
      <c r="Q45" s="124"/>
      <c r="R45" s="124"/>
      <c r="S45" s="124"/>
      <c r="T45" s="124"/>
      <c r="U45" s="19"/>
      <c r="V45" s="19"/>
      <c r="W45" s="19"/>
      <c r="X45" s="19"/>
      <c r="Y45" s="19"/>
      <c r="Z45" s="19"/>
    </row>
    <row r="46" spans="1:26" x14ac:dyDescent="0.3">
      <c r="A46" s="19"/>
      <c r="B46" s="156">
        <v>27</v>
      </c>
      <c r="C46" s="240" t="str">
        <f t="shared" si="3"/>
        <v/>
      </c>
      <c r="D46" s="364"/>
      <c r="E46" s="364"/>
      <c r="F46" s="365"/>
      <c r="G46" s="189"/>
      <c r="H46" s="189"/>
      <c r="I46" s="189"/>
      <c r="J46" s="189"/>
      <c r="K46" s="189"/>
      <c r="L46" s="250">
        <f t="shared" si="4"/>
        <v>0</v>
      </c>
      <c r="M46" s="124"/>
      <c r="N46" s="124"/>
      <c r="O46" s="124"/>
      <c r="P46" s="124"/>
      <c r="Q46" s="124"/>
      <c r="R46" s="124"/>
      <c r="S46" s="124"/>
      <c r="T46" s="124"/>
      <c r="U46" s="19"/>
      <c r="V46" s="19"/>
      <c r="W46" s="19"/>
      <c r="X46" s="19"/>
      <c r="Y46" s="19"/>
      <c r="Z46" s="19"/>
    </row>
  </sheetData>
  <sheetProtection algorithmName="SHA-512" hashValue="EZbNYdkqXUcIcR051v+lwkRE+klEE7ettXsfj+NDkV/C5qzxyoSCfl92KuMQr54r1lXwV+Kx2E6TMcUIbSyNHg==" saltValue="NNcBKba3vq4/I3LFkmL7TQ==" spinCount="100000" sheet="1" objects="1" scenarios="1" selectLockedCells="1"/>
  <customSheetViews>
    <customSheetView guid="{E7E6A24F-BA49-4C7A-9CED-3AB8F60308A1}" scale="85" showGridLines="0" printArea="1">
      <selection activeCell="I10" sqref="I10"/>
      <rowBreaks count="1" manualBreakCount="1">
        <brk id="23" min="1" max="11" man="1"/>
      </rowBreaks>
      <pageMargins left="0.25" right="0.25" top="0.75" bottom="0.75" header="0.3" footer="0.3"/>
      <pageSetup paperSize="5" scale="63" fitToWidth="0" fitToHeight="0" orientation="landscape" r:id="rId1"/>
      <headerFooter>
        <oddFooter>&amp;C&amp;"Arial,Regular"&amp;12Page &amp;P of &amp;N</oddFooter>
      </headerFooter>
    </customSheetView>
    <customSheetView guid="{7E50CCF5-45D0-4F7B-8896-9BA64DCA8A01}" scale="85" showGridLines="0" topLeftCell="A10">
      <selection activeCell="G27" sqref="G27"/>
      <rowBreaks count="1" manualBreakCount="1">
        <brk id="23" min="1" max="11" man="1"/>
      </rowBreaks>
      <pageMargins left="0.25" right="0.25" top="0.75" bottom="0.75" header="0.3" footer="0.3"/>
      <pageSetup paperSize="5" scale="63" fitToWidth="0" fitToHeight="0" orientation="landscape" r:id="rId2"/>
      <headerFooter>
        <oddFooter>&amp;C&amp;"Arial,Regular"&amp;12Page &amp;P of &amp;N</oddFooter>
      </headerFooter>
    </customSheetView>
    <customSheetView guid="{D8D3A042-2CA2-4641-BB44-BC182917D730}" scale="85" showGridLines="0" printArea="1" topLeftCell="A10">
      <selection activeCell="G27" sqref="G27"/>
      <rowBreaks count="1" manualBreakCount="1">
        <brk id="23" min="1" max="11" man="1"/>
      </rowBreaks>
      <pageMargins left="0.25" right="0.25" top="0.75" bottom="0.75" header="0.3" footer="0.3"/>
      <pageSetup paperSize="5" scale="63" fitToWidth="0" fitToHeight="0" orientation="landscape" r:id="rId3"/>
      <headerFooter>
        <oddFooter>&amp;C&amp;"Arial,Regular"&amp;12Page &amp;P of &amp;N</oddFooter>
      </headerFooter>
    </customSheetView>
  </customSheetViews>
  <dataValidations count="25">
    <dataValidation allowBlank="1" showInputMessage="1" showErrorMessage="1" prompt="Type in the Total MHSA Funds (Including Interest) for CFTN Administration Costs. " sqref="F17" xr:uid="{00000000-0002-0000-0D00-000000000000}"/>
    <dataValidation allowBlank="1" showInputMessage="1" showErrorMessage="1" prompt="Type in the Total MHSA Funds (Including Interest) for CFTN Evaluation Costs. " sqref="F16" xr:uid="{00000000-0002-0000-0D00-000001000000}"/>
    <dataValidation allowBlank="1" showInputMessage="1" showErrorMessage="1" prompt="Type in the Medi-Cal FFP for CFTN Administration Costs. " sqref="G17" xr:uid="{00000000-0002-0000-0D00-000002000000}"/>
    <dataValidation allowBlank="1" showInputMessage="1" showErrorMessage="1" prompt="Type in the Medi-Cal FFP for CFTN Evaluation Costs. " sqref="G16" xr:uid="{00000000-0002-0000-0D00-000003000000}"/>
    <dataValidation allowBlank="1" showInputMessage="1" showErrorMessage="1" prompt="Type in the 1991 Realignment for CFTN Administration Costs. " sqref="H17" xr:uid="{00000000-0002-0000-0D00-000004000000}"/>
    <dataValidation allowBlank="1" showInputMessage="1" showErrorMessage="1" prompt="Type in the 1991 Realignment for CFTN Evaluation Costs." sqref="H16" xr:uid="{00000000-0002-0000-0D00-000005000000}"/>
    <dataValidation allowBlank="1" showInputMessage="1" showErrorMessage="1" prompt="Type in the Behavioral Health Subaccount amount for CFTN Administration Costs. " sqref="I17" xr:uid="{00000000-0002-0000-0D00-000006000000}"/>
    <dataValidation allowBlank="1" showInputMessage="1" showErrorMessage="1" prompt="Type in the Behavioral Health Subaccount amount for CFTN Evaluation Costs." sqref="I16" xr:uid="{00000000-0002-0000-0D00-000007000000}"/>
    <dataValidation allowBlank="1" showInputMessage="1" showErrorMessage="1" prompt="Type in Other funds for CFTN Administration Costs." sqref="J17" xr:uid="{00000000-0002-0000-0D00-000008000000}"/>
    <dataValidation allowBlank="1" showInputMessage="1" showErrorMessage="1" prompt="Type in Other funds for CFTN Evaluation Costs. " sqref="J16" xr:uid="{00000000-0002-0000-0D00-000009000000}"/>
    <dataValidation allowBlank="1" showInputMessage="1" showErrorMessage="1" prompt="Type in Other funds for CFTN Annual Planning Costs. " sqref="J15" xr:uid="{00000000-0002-0000-0D00-00000A000000}"/>
    <dataValidation allowBlank="1" showInputMessage="1" showErrorMessage="1" prompt="Type in the Behavioral Health Subaccount amount for CFTN Annual Planning Costs. " sqref="I15" xr:uid="{00000000-0002-0000-0D00-00000B000000}"/>
    <dataValidation allowBlank="1" showInputMessage="1" showErrorMessage="1" prompt="Type in the 1991 Realignment for CFTN Annual Planning Costs. " sqref="H15" xr:uid="{00000000-0002-0000-0D00-00000C000000}"/>
    <dataValidation allowBlank="1" showInputMessage="1" showErrorMessage="1" prompt="Type in the Medi-Cal FFP for CFTN Annual Planning Costs. " sqref="G15" xr:uid="{00000000-0002-0000-0D00-00000D000000}"/>
    <dataValidation allowBlank="1" showInputMessage="1" showErrorMessage="1" prompt="Type in the Total MHSA Funds (Including Interest) for CFTN Annual Planning Costs. " sqref="F15" xr:uid="{00000000-0002-0000-0D00-00000E000000}"/>
    <dataValidation allowBlank="1" showInputMessage="1" showErrorMessage="1" prompt="Type in the Total MHSA Funds (Including Interest) for CFTN Expenditures Incurred by JPA. " sqref="F18" xr:uid="{00000000-0002-0000-0D00-00000F000000}"/>
    <dataValidation allowBlank="1" showInputMessage="1" showErrorMessage="1" prompt="Type in the Total MHSA Funds (Including Interest) for CFTN Project Expenditures. " sqref="F19" xr:uid="{00000000-0002-0000-0D00-000010000000}"/>
    <dataValidation allowBlank="1" showInputMessage="1" showErrorMessage="1" prompt="Type in Other items. " sqref="K27:K46" xr:uid="{00000000-0002-0000-0D00-000011000000}"/>
    <dataValidation allowBlank="1" showInputMessage="1" showErrorMessage="1" prompt="Type in Behavioral Health Subaccount. " sqref="J27:J46" xr:uid="{00000000-0002-0000-0D00-000012000000}"/>
    <dataValidation allowBlank="1" showInputMessage="1" showErrorMessage="1" prompt="Type in 1991 Realignment. " sqref="I27:I46" xr:uid="{00000000-0002-0000-0D00-000013000000}"/>
    <dataValidation allowBlank="1" showInputMessage="1" showErrorMessage="1" prompt="Type in Medi-Cal FFP. " sqref="H27:H46" xr:uid="{00000000-0002-0000-0D00-000014000000}"/>
    <dataValidation allowBlank="1" showInputMessage="1" showErrorMessage="1" prompt="Type in Total MHSA Funds (Including Interest)" sqref="G27:G46" xr:uid="{00000000-0002-0000-0D00-000015000000}"/>
    <dataValidation allowBlank="1" showInputMessage="1" showErrorMessage="1" prompt="Type in Prior Program Name. " sqref="E27:E46" xr:uid="{00000000-0002-0000-0D00-000016000000}"/>
    <dataValidation allowBlank="1" showInputMessage="1" showErrorMessage="1" prompt="Type in Program Name. " sqref="D27:D46" xr:uid="{00000000-0002-0000-0D00-000017000000}"/>
    <dataValidation type="list" allowBlank="1" showInputMessage="1" showErrorMessage="1" prompt="Use drop down menu to select Project Type. " sqref="F27:F46" xr:uid="{00000000-0002-0000-0D00-000018000000}">
      <formula1>CFTN_Project_Type</formula1>
    </dataValidation>
  </dataValidations>
  <pageMargins left="0.25" right="0.25" top="0.75" bottom="0.75" header="0.3" footer="0.3"/>
  <pageSetup paperSize="5" scale="63" fitToWidth="0" fitToHeight="0" orientation="landscape" r:id="rId4"/>
  <headerFooter>
    <oddFooter>&amp;C&amp;"Arial,Regular"&amp;12Page &amp;P of &amp;N</oddFooter>
  </headerFooter>
  <rowBreaks count="1" manualBreakCount="1">
    <brk id="25" min="1" max="11"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59"/>
  <sheetViews>
    <sheetView topLeftCell="A11" workbookViewId="0">
      <selection activeCell="A32" sqref="A32"/>
    </sheetView>
  </sheetViews>
  <sheetFormatPr defaultColWidth="0" defaultRowHeight="14.4" zeroHeight="1" x14ac:dyDescent="0.3"/>
  <cols>
    <col min="1" max="1" width="128.109375" style="174" customWidth="1"/>
    <col min="2" max="2" width="9.109375" style="174" hidden="1" customWidth="1"/>
    <col min="3" max="16384" width="9.109375" style="174" hidden="1"/>
  </cols>
  <sheetData>
    <row r="1" spans="1:1" ht="19.5" customHeight="1" x14ac:dyDescent="0.3">
      <c r="A1" s="211" t="s">
        <v>596</v>
      </c>
    </row>
    <row r="2" spans="1:1" ht="15.6" x14ac:dyDescent="0.3">
      <c r="A2" s="172" t="s">
        <v>305</v>
      </c>
    </row>
    <row r="3" spans="1:1" ht="15.6" x14ac:dyDescent="0.3">
      <c r="A3" s="172" t="s">
        <v>304</v>
      </c>
    </row>
    <row r="4" spans="1:1" ht="15.6" x14ac:dyDescent="0.3">
      <c r="A4" s="172" t="s">
        <v>512</v>
      </c>
    </row>
    <row r="5" spans="1:1" ht="15.6" x14ac:dyDescent="0.3">
      <c r="A5" s="172" t="s">
        <v>513</v>
      </c>
    </row>
    <row r="6" spans="1:1" ht="15.6" x14ac:dyDescent="0.3">
      <c r="A6" s="172" t="s">
        <v>514</v>
      </c>
    </row>
    <row r="7" spans="1:1" ht="15.6" x14ac:dyDescent="0.3">
      <c r="A7" s="172" t="s">
        <v>584</v>
      </c>
    </row>
    <row r="8" spans="1:1" ht="45.6" x14ac:dyDescent="0.3">
      <c r="A8" s="172" t="s">
        <v>515</v>
      </c>
    </row>
    <row r="9" spans="1:1" ht="15.6" x14ac:dyDescent="0.3">
      <c r="A9" s="172" t="s">
        <v>411</v>
      </c>
    </row>
    <row r="10" spans="1:1" ht="15.6" x14ac:dyDescent="0.3">
      <c r="A10" s="172" t="s">
        <v>516</v>
      </c>
    </row>
    <row r="11" spans="1:1" ht="15.6" x14ac:dyDescent="0.3">
      <c r="A11" s="172" t="s">
        <v>517</v>
      </c>
    </row>
    <row r="12" spans="1:1" ht="15.6" x14ac:dyDescent="0.3">
      <c r="A12" s="172" t="s">
        <v>518</v>
      </c>
    </row>
    <row r="13" spans="1:1" ht="15.6" x14ac:dyDescent="0.3">
      <c r="A13" s="172" t="s">
        <v>589</v>
      </c>
    </row>
    <row r="14" spans="1:1" ht="15.6" x14ac:dyDescent="0.3">
      <c r="A14" s="172" t="s">
        <v>519</v>
      </c>
    </row>
    <row r="15" spans="1:1" ht="15.6" x14ac:dyDescent="0.3">
      <c r="A15" s="172" t="s">
        <v>406</v>
      </c>
    </row>
    <row r="16" spans="1:1" ht="135.6" x14ac:dyDescent="0.3">
      <c r="A16" s="172" t="s">
        <v>520</v>
      </c>
    </row>
    <row r="17" spans="1:1" ht="15.6" x14ac:dyDescent="0.3">
      <c r="A17" s="172" t="s">
        <v>521</v>
      </c>
    </row>
    <row r="18" spans="1:1" ht="15.6" x14ac:dyDescent="0.3">
      <c r="A18" s="172" t="s">
        <v>522</v>
      </c>
    </row>
    <row r="19" spans="1:1" ht="15.6" x14ac:dyDescent="0.3">
      <c r="A19" s="172" t="s">
        <v>590</v>
      </c>
    </row>
    <row r="20" spans="1:1" ht="15.6" x14ac:dyDescent="0.3">
      <c r="A20" s="172" t="s">
        <v>523</v>
      </c>
    </row>
    <row r="21" spans="1:1" ht="15.6" x14ac:dyDescent="0.3">
      <c r="A21" s="172" t="s">
        <v>432</v>
      </c>
    </row>
    <row r="22" spans="1:1" ht="30.6" x14ac:dyDescent="0.3">
      <c r="A22" s="172" t="s">
        <v>524</v>
      </c>
    </row>
    <row r="23" spans="1:1" ht="15.6" x14ac:dyDescent="0.3">
      <c r="A23" s="172" t="s">
        <v>433</v>
      </c>
    </row>
    <row r="24" spans="1:1" ht="15.6" x14ac:dyDescent="0.3">
      <c r="A24" s="172" t="s">
        <v>434</v>
      </c>
    </row>
    <row r="25" spans="1:1" ht="15.6" x14ac:dyDescent="0.3">
      <c r="A25" s="172" t="s">
        <v>435</v>
      </c>
    </row>
    <row r="26" spans="1:1" ht="15.6" x14ac:dyDescent="0.3">
      <c r="A26" s="172" t="s">
        <v>436</v>
      </c>
    </row>
    <row r="27" spans="1:1" ht="15.6" x14ac:dyDescent="0.3">
      <c r="A27" s="172" t="s">
        <v>437</v>
      </c>
    </row>
    <row r="28" spans="1:1" ht="30.6" x14ac:dyDescent="0.3">
      <c r="A28" s="172" t="s">
        <v>525</v>
      </c>
    </row>
    <row r="29" spans="1:1" ht="15.6" x14ac:dyDescent="0.3">
      <c r="A29" s="172" t="s">
        <v>322</v>
      </c>
    </row>
    <row r="30" spans="1:1" ht="15.6" x14ac:dyDescent="0.3">
      <c r="A30" s="172" t="s">
        <v>403</v>
      </c>
    </row>
    <row r="31" spans="1:1" ht="15.6" x14ac:dyDescent="0.3">
      <c r="A31" s="172" t="s">
        <v>402</v>
      </c>
    </row>
    <row r="32" spans="1:1" ht="15.6" x14ac:dyDescent="0.3">
      <c r="A32" s="172" t="s">
        <v>401</v>
      </c>
    </row>
    <row r="33" spans="1:1" ht="15.6" x14ac:dyDescent="0.3">
      <c r="A33" s="172" t="s">
        <v>400</v>
      </c>
    </row>
    <row r="34" spans="1:1" ht="15.6" x14ac:dyDescent="0.3">
      <c r="A34" s="172" t="s">
        <v>526</v>
      </c>
    </row>
    <row r="35" spans="1:1" ht="15.6" x14ac:dyDescent="0.3">
      <c r="A35" s="172" t="s">
        <v>527</v>
      </c>
    </row>
    <row r="36" spans="1:1" ht="15.6" x14ac:dyDescent="0.3">
      <c r="A36" s="172" t="s">
        <v>528</v>
      </c>
    </row>
    <row r="37" spans="1:1" ht="15.6" x14ac:dyDescent="0.3">
      <c r="A37" s="172" t="s">
        <v>529</v>
      </c>
    </row>
    <row r="38" spans="1:1" ht="15.6" x14ac:dyDescent="0.3">
      <c r="A38" s="172" t="s">
        <v>530</v>
      </c>
    </row>
    <row r="39" spans="1:1" ht="15.6" x14ac:dyDescent="0.3">
      <c r="A39" s="172" t="s">
        <v>467</v>
      </c>
    </row>
    <row r="40" spans="1:1" ht="15.6" x14ac:dyDescent="0.3">
      <c r="A40" s="172" t="s">
        <v>468</v>
      </c>
    </row>
    <row r="41" spans="1:1" ht="15.6" x14ac:dyDescent="0.3">
      <c r="A41" s="172" t="s">
        <v>469</v>
      </c>
    </row>
    <row r="42" spans="1:1" ht="15.6" x14ac:dyDescent="0.3">
      <c r="A42" s="172" t="s">
        <v>470</v>
      </c>
    </row>
    <row r="43" spans="1:1" ht="15.6" x14ac:dyDescent="0.3">
      <c r="A43" s="172" t="s">
        <v>471</v>
      </c>
    </row>
    <row r="44" spans="1:1" ht="15.6" x14ac:dyDescent="0.3">
      <c r="A44" s="172" t="s">
        <v>472</v>
      </c>
    </row>
    <row r="45" spans="1:1" ht="15.6" x14ac:dyDescent="0.3">
      <c r="A45" s="172" t="s">
        <v>473</v>
      </c>
    </row>
    <row r="46" spans="1:1" ht="45.6" x14ac:dyDescent="0.3">
      <c r="A46" s="172" t="s">
        <v>531</v>
      </c>
    </row>
    <row r="47" spans="1:1" ht="61.5" customHeight="1" x14ac:dyDescent="0.3">
      <c r="A47" s="172" t="s">
        <v>532</v>
      </c>
    </row>
    <row r="48" spans="1:1" ht="78" customHeight="1" x14ac:dyDescent="0.3">
      <c r="A48" s="172" t="s">
        <v>533</v>
      </c>
    </row>
    <row r="49" spans="1:1" ht="15" x14ac:dyDescent="0.3">
      <c r="A49" s="218" t="s">
        <v>534</v>
      </c>
    </row>
    <row r="50" spans="1:1" ht="30.6" x14ac:dyDescent="0.3">
      <c r="A50" s="172" t="s">
        <v>535</v>
      </c>
    </row>
    <row r="51" spans="1:1" ht="30.6" x14ac:dyDescent="0.3">
      <c r="A51" s="172" t="s">
        <v>536</v>
      </c>
    </row>
    <row r="52" spans="1:1" ht="30.6" x14ac:dyDescent="0.3">
      <c r="A52" s="172" t="s">
        <v>537</v>
      </c>
    </row>
    <row r="53" spans="1:1" ht="30.6" x14ac:dyDescent="0.3">
      <c r="A53" s="172" t="s">
        <v>538</v>
      </c>
    </row>
    <row r="54" spans="1:1" ht="30.6" x14ac:dyDescent="0.3">
      <c r="A54" s="172" t="s">
        <v>539</v>
      </c>
    </row>
    <row r="55" spans="1:1" ht="15.6" x14ac:dyDescent="0.3">
      <c r="A55" s="172" t="s">
        <v>540</v>
      </c>
    </row>
    <row r="56" spans="1:1" ht="15.6" hidden="1" x14ac:dyDescent="0.3">
      <c r="A56" s="172"/>
    </row>
    <row r="57" spans="1:1" ht="15.6" hidden="1" x14ac:dyDescent="0.3">
      <c r="A57" s="172"/>
    </row>
    <row r="58" spans="1:1" ht="15.6" hidden="1" x14ac:dyDescent="0.3">
      <c r="A58" s="172"/>
    </row>
    <row r="59" spans="1:1" ht="15.6" hidden="1" x14ac:dyDescent="0.3">
      <c r="A59" s="172"/>
    </row>
  </sheetData>
  <sheetProtection algorithmName="SHA-512" hashValue="gmO74pEe7l37bXCYN6T4o91OSFxdKHrsgFVgZydhQciis7Hw+cJAEuwbMjChpC3+L6woyY/DPkstXetA3Nc4kw==" saltValue="F3HvSlXfKn0ni4srYI2zIg==" spinCount="100000" sheet="1" objects="1" scenarios="1" selectLockedCells="1"/>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pageSetUpPr autoPageBreaks="0"/>
  </sheetPr>
  <dimension ref="A1:M120"/>
  <sheetViews>
    <sheetView showGridLines="0" zoomScale="74" zoomScaleNormal="100" workbookViewId="0"/>
  </sheetViews>
  <sheetFormatPr defaultColWidth="0" defaultRowHeight="15" zeroHeight="1" x14ac:dyDescent="0.25"/>
  <cols>
    <col min="1" max="1" width="2.6640625" style="264" customWidth="1"/>
    <col min="2" max="2" width="6.6640625" style="264" customWidth="1"/>
    <col min="3" max="3" width="9.33203125" style="264" bestFit="1" customWidth="1"/>
    <col min="4" max="4" width="28.33203125" style="264" customWidth="1"/>
    <col min="5" max="5" width="26.109375" style="264" customWidth="1"/>
    <col min="6" max="6" width="20.109375" style="264" customWidth="1"/>
    <col min="7" max="7" width="30" style="264" customWidth="1"/>
    <col min="8" max="8" width="54.33203125" style="264" customWidth="1"/>
    <col min="9" max="13" width="11.6640625" style="264" hidden="1" customWidth="1"/>
    <col min="14" max="16384" width="9.109375" style="264" hidden="1"/>
  </cols>
  <sheetData>
    <row r="1" spans="1:13" s="205" customFormat="1" x14ac:dyDescent="0.25">
      <c r="A1" s="262" t="s">
        <v>752</v>
      </c>
      <c r="B1" s="263" t="s">
        <v>270</v>
      </c>
      <c r="C1" s="19"/>
      <c r="D1" s="19"/>
      <c r="E1" s="19"/>
      <c r="F1" s="121"/>
      <c r="G1" s="17"/>
      <c r="H1" s="280" t="s">
        <v>268</v>
      </c>
      <c r="I1" s="17"/>
      <c r="J1" s="19"/>
      <c r="K1" s="19"/>
      <c r="L1" s="17"/>
      <c r="M1" s="17"/>
    </row>
    <row r="2" spans="1:13" s="205" customFormat="1" ht="15.6" thickBot="1" x14ac:dyDescent="0.3">
      <c r="A2" s="17"/>
      <c r="B2" s="266" t="s">
        <v>269</v>
      </c>
      <c r="C2" s="127"/>
      <c r="D2" s="127"/>
      <c r="E2" s="127"/>
      <c r="F2" s="128"/>
      <c r="G2" s="127"/>
      <c r="H2" s="128"/>
      <c r="I2" s="17"/>
      <c r="J2" s="19"/>
      <c r="K2" s="19"/>
      <c r="L2" s="17"/>
      <c r="M2" s="17"/>
    </row>
    <row r="3" spans="1:13" x14ac:dyDescent="0.25">
      <c r="A3" s="19"/>
      <c r="B3" s="8"/>
      <c r="C3" s="8"/>
      <c r="D3" s="19"/>
      <c r="E3" s="19"/>
      <c r="F3" s="19"/>
      <c r="G3" s="19"/>
      <c r="H3" s="19"/>
      <c r="I3" s="19"/>
      <c r="J3" s="19"/>
      <c r="K3" s="19"/>
      <c r="L3" s="19"/>
      <c r="M3" s="19"/>
    </row>
    <row r="4" spans="1:13" s="269" customFormat="1" x14ac:dyDescent="0.25">
      <c r="A4" s="99"/>
      <c r="B4" s="270" t="s">
        <v>787</v>
      </c>
      <c r="C4" s="99"/>
      <c r="D4" s="99"/>
      <c r="E4" s="99"/>
      <c r="F4" s="99"/>
      <c r="G4" s="99"/>
      <c r="H4" s="99"/>
      <c r="I4" s="99"/>
      <c r="J4" s="99"/>
      <c r="K4" s="99"/>
      <c r="L4" s="99"/>
      <c r="M4" s="99"/>
    </row>
    <row r="5" spans="1:13" ht="17.399999999999999" x14ac:dyDescent="0.25">
      <c r="A5" s="19"/>
      <c r="B5" s="271" t="str">
        <f>'1. Information'!B5</f>
        <v>Annual Mental Health Services Act (MHSA) Revenue and Expenditure Report</v>
      </c>
      <c r="C5" s="1"/>
      <c r="D5" s="1"/>
      <c r="E5" s="1"/>
      <c r="F5" s="1"/>
      <c r="G5" s="1"/>
      <c r="H5" s="19"/>
      <c r="I5" s="19"/>
      <c r="J5" s="19"/>
      <c r="K5" s="19"/>
      <c r="L5" s="19"/>
      <c r="M5" s="19"/>
    </row>
    <row r="6" spans="1:13" ht="17.399999999999999" x14ac:dyDescent="0.25">
      <c r="A6" s="19"/>
      <c r="B6" s="271" t="str">
        <f>'1. Information'!B6</f>
        <v>Fiscal Year: 2023-24</v>
      </c>
      <c r="C6" s="1"/>
      <c r="D6" s="1"/>
      <c r="E6" s="1"/>
      <c r="F6" s="1"/>
      <c r="G6" s="1"/>
      <c r="H6" s="19"/>
      <c r="I6" s="19"/>
      <c r="J6" s="19"/>
      <c r="K6" s="19"/>
      <c r="L6" s="19"/>
      <c r="M6" s="19"/>
    </row>
    <row r="7" spans="1:13" ht="17.399999999999999" x14ac:dyDescent="0.25">
      <c r="A7" s="19"/>
      <c r="B7" s="450" t="s">
        <v>292</v>
      </c>
      <c r="C7" s="5"/>
      <c r="D7" s="5"/>
      <c r="E7" s="5"/>
      <c r="F7" s="5"/>
      <c r="G7" s="5"/>
      <c r="H7" s="19"/>
      <c r="I7" s="19"/>
      <c r="J7" s="19"/>
      <c r="K7" s="19"/>
      <c r="L7" s="19"/>
      <c r="M7" s="19"/>
    </row>
    <row r="8" spans="1:13" ht="15.6" x14ac:dyDescent="0.25">
      <c r="A8" s="19"/>
      <c r="B8" s="19"/>
      <c r="C8" s="16"/>
      <c r="D8" s="16"/>
      <c r="E8" s="16"/>
      <c r="F8" s="16"/>
      <c r="G8" s="16"/>
      <c r="H8" s="19"/>
      <c r="I8" s="19"/>
      <c r="J8" s="19"/>
      <c r="K8" s="19"/>
      <c r="L8" s="19"/>
      <c r="M8" s="19"/>
    </row>
    <row r="9" spans="1:13" ht="15.6" x14ac:dyDescent="0.3">
      <c r="A9" s="19"/>
      <c r="B9" s="318" t="s">
        <v>0</v>
      </c>
      <c r="C9" s="118"/>
      <c r="D9" s="206" t="str">
        <f>IF(ISBLANK('1. Information'!D11),"",'1. Information'!D11)</f>
        <v>Marin</v>
      </c>
      <c r="E9" s="2"/>
      <c r="F9" s="465" t="s">
        <v>153</v>
      </c>
      <c r="G9" s="210">
        <f>IF(ISBLANK('1. Information'!D9),"",'1. Information'!D9)</f>
        <v>45684</v>
      </c>
      <c r="H9" s="19"/>
      <c r="I9" s="19"/>
      <c r="J9" s="19"/>
      <c r="K9" s="19"/>
      <c r="L9" s="19"/>
      <c r="M9" s="19"/>
    </row>
    <row r="10" spans="1:13" ht="15.6" x14ac:dyDescent="0.3">
      <c r="A10" s="19"/>
      <c r="B10" s="3"/>
      <c r="C10" s="3"/>
      <c r="D10" s="3"/>
      <c r="E10" s="3"/>
      <c r="F10" s="2"/>
      <c r="G10" s="13"/>
      <c r="H10" s="21"/>
      <c r="I10" s="19"/>
      <c r="J10" s="19"/>
      <c r="K10" s="19"/>
      <c r="L10" s="19"/>
      <c r="M10" s="19"/>
    </row>
    <row r="11" spans="1:13" ht="18" thickBot="1" x14ac:dyDescent="0.35">
      <c r="A11" s="19"/>
      <c r="B11" s="324" t="s">
        <v>211</v>
      </c>
      <c r="C11" s="134"/>
      <c r="D11" s="134"/>
      <c r="E11" s="134"/>
      <c r="F11" s="135"/>
      <c r="G11" s="166"/>
      <c r="H11" s="143"/>
      <c r="I11" s="19"/>
      <c r="J11" s="19"/>
      <c r="K11" s="19"/>
      <c r="L11" s="19"/>
      <c r="M11" s="19"/>
    </row>
    <row r="12" spans="1:13" ht="16.2" thickTop="1" x14ac:dyDescent="0.3">
      <c r="A12" s="19"/>
      <c r="B12" s="3"/>
      <c r="C12" s="3"/>
      <c r="D12" s="3"/>
      <c r="E12" s="3"/>
      <c r="F12" s="2"/>
      <c r="G12" s="13"/>
      <c r="H12" s="21"/>
      <c r="I12" s="19"/>
      <c r="J12" s="19"/>
      <c r="K12" s="19"/>
      <c r="L12" s="19"/>
      <c r="M12" s="19"/>
    </row>
    <row r="13" spans="1:13" x14ac:dyDescent="0.25">
      <c r="A13" s="19"/>
      <c r="B13" s="19"/>
      <c r="C13" s="293" t="s">
        <v>22</v>
      </c>
      <c r="D13" s="293" t="s">
        <v>23</v>
      </c>
      <c r="E13" s="293" t="s">
        <v>25</v>
      </c>
      <c r="F13" s="293" t="s">
        <v>199</v>
      </c>
      <c r="G13" s="293" t="s">
        <v>200</v>
      </c>
      <c r="H13" s="466" t="s">
        <v>201</v>
      </c>
      <c r="I13" s="19"/>
      <c r="J13" s="19"/>
      <c r="K13" s="19"/>
      <c r="L13" s="19"/>
      <c r="M13" s="19"/>
    </row>
    <row r="14" spans="1:13" ht="46.8" x14ac:dyDescent="0.25">
      <c r="A14" s="19"/>
      <c r="B14" s="393" t="s">
        <v>117</v>
      </c>
      <c r="C14" s="455" t="s">
        <v>165</v>
      </c>
      <c r="D14" s="395" t="s">
        <v>541</v>
      </c>
      <c r="E14" s="395" t="s">
        <v>542</v>
      </c>
      <c r="F14" s="395" t="s">
        <v>749</v>
      </c>
      <c r="G14" s="395" t="s">
        <v>101</v>
      </c>
      <c r="H14" s="395" t="s">
        <v>102</v>
      </c>
      <c r="I14" s="19"/>
      <c r="J14" s="19"/>
      <c r="K14" s="19"/>
      <c r="L14" s="19"/>
      <c r="M14" s="19"/>
    </row>
    <row r="15" spans="1:13" ht="45" x14ac:dyDescent="0.25">
      <c r="A15" s="19"/>
      <c r="B15" s="400">
        <v>1</v>
      </c>
      <c r="C15" s="401">
        <f t="shared" ref="C15:C62" si="0">IF(G15&lt;&gt;0,VLOOKUP($D$9,Info_County_Code,2,FALSE),"")</f>
        <v>21</v>
      </c>
      <c r="D15" s="199" t="s">
        <v>26</v>
      </c>
      <c r="E15" s="199" t="s">
        <v>831</v>
      </c>
      <c r="F15" s="202" t="s">
        <v>832</v>
      </c>
      <c r="G15" s="203">
        <v>-65.94</v>
      </c>
      <c r="H15" s="186" t="s">
        <v>833</v>
      </c>
      <c r="I15" s="19"/>
      <c r="J15" s="19"/>
      <c r="K15" s="19"/>
      <c r="L15" s="19"/>
      <c r="M15" s="19"/>
    </row>
    <row r="16" spans="1:13" ht="30" x14ac:dyDescent="0.25">
      <c r="A16" s="19"/>
      <c r="B16" s="400">
        <v>2</v>
      </c>
      <c r="C16" s="401">
        <f t="shared" si="0"/>
        <v>21</v>
      </c>
      <c r="D16" s="199" t="s">
        <v>26</v>
      </c>
      <c r="E16" s="199" t="s">
        <v>831</v>
      </c>
      <c r="F16" s="202" t="s">
        <v>832</v>
      </c>
      <c r="G16" s="203">
        <v>4621</v>
      </c>
      <c r="H16" s="186" t="s">
        <v>834</v>
      </c>
      <c r="I16" s="19"/>
      <c r="J16" s="19"/>
      <c r="K16" s="19"/>
      <c r="L16" s="19"/>
      <c r="M16" s="19"/>
    </row>
    <row r="17" spans="1:13" ht="30" x14ac:dyDescent="0.25">
      <c r="A17" s="19"/>
      <c r="B17" s="400">
        <v>3</v>
      </c>
      <c r="C17" s="401">
        <f t="shared" si="0"/>
        <v>21</v>
      </c>
      <c r="D17" s="199" t="s">
        <v>26</v>
      </c>
      <c r="E17" s="199" t="s">
        <v>831</v>
      </c>
      <c r="F17" s="202" t="s">
        <v>832</v>
      </c>
      <c r="G17" s="203">
        <v>4293.29</v>
      </c>
      <c r="H17" s="186" t="s">
        <v>835</v>
      </c>
      <c r="I17" s="19"/>
      <c r="J17" s="19"/>
      <c r="K17" s="19"/>
      <c r="L17" s="19"/>
      <c r="M17" s="19"/>
    </row>
    <row r="18" spans="1:13" ht="45" x14ac:dyDescent="0.25">
      <c r="A18" s="19"/>
      <c r="B18" s="400">
        <v>4</v>
      </c>
      <c r="C18" s="401">
        <f t="shared" si="0"/>
        <v>21</v>
      </c>
      <c r="D18" s="199" t="s">
        <v>26</v>
      </c>
      <c r="E18" s="199" t="s">
        <v>831</v>
      </c>
      <c r="F18" s="202" t="s">
        <v>832</v>
      </c>
      <c r="G18" s="203">
        <v>6888.76</v>
      </c>
      <c r="H18" s="186" t="s">
        <v>836</v>
      </c>
      <c r="I18" s="19"/>
      <c r="J18" s="19"/>
      <c r="K18" s="19"/>
      <c r="L18" s="19"/>
      <c r="M18" s="19"/>
    </row>
    <row r="19" spans="1:13" ht="45" x14ac:dyDescent="0.25">
      <c r="A19" s="19"/>
      <c r="B19" s="400">
        <v>5</v>
      </c>
      <c r="C19" s="401">
        <f t="shared" si="0"/>
        <v>21</v>
      </c>
      <c r="D19" s="199" t="s">
        <v>26</v>
      </c>
      <c r="E19" s="199" t="s">
        <v>831</v>
      </c>
      <c r="F19" s="202" t="s">
        <v>832</v>
      </c>
      <c r="G19" s="203">
        <f>-6888.76</f>
        <v>-6888.76</v>
      </c>
      <c r="H19" s="186" t="s">
        <v>836</v>
      </c>
      <c r="I19" s="19"/>
      <c r="J19" s="19"/>
      <c r="K19" s="19"/>
      <c r="L19" s="19"/>
      <c r="M19" s="19"/>
    </row>
    <row r="20" spans="1:13" ht="45" x14ac:dyDescent="0.25">
      <c r="A20" s="19"/>
      <c r="B20" s="400">
        <v>6</v>
      </c>
      <c r="C20" s="401">
        <f t="shared" si="0"/>
        <v>21</v>
      </c>
      <c r="D20" s="199" t="s">
        <v>26</v>
      </c>
      <c r="E20" s="199" t="s">
        <v>831</v>
      </c>
      <c r="F20" s="202" t="s">
        <v>832</v>
      </c>
      <c r="G20" s="203">
        <f>89939.73-44740.44</f>
        <v>45199.289999999994</v>
      </c>
      <c r="H20" s="186" t="s">
        <v>837</v>
      </c>
      <c r="I20" s="19"/>
      <c r="J20" s="19"/>
      <c r="K20" s="19"/>
      <c r="L20" s="19"/>
      <c r="M20" s="19"/>
    </row>
    <row r="21" spans="1:13" ht="45" x14ac:dyDescent="0.25">
      <c r="A21" s="19"/>
      <c r="B21" s="400">
        <v>7</v>
      </c>
      <c r="C21" s="401">
        <f t="shared" si="0"/>
        <v>21</v>
      </c>
      <c r="D21" s="199" t="s">
        <v>26</v>
      </c>
      <c r="E21" s="199" t="s">
        <v>831</v>
      </c>
      <c r="F21" s="202" t="s">
        <v>832</v>
      </c>
      <c r="G21" s="203">
        <f>73850.31-55267.09</f>
        <v>18583.22</v>
      </c>
      <c r="H21" s="186" t="s">
        <v>838</v>
      </c>
      <c r="I21" s="19"/>
      <c r="J21" s="19"/>
      <c r="K21" s="19"/>
      <c r="L21" s="19"/>
      <c r="M21" s="19"/>
    </row>
    <row r="22" spans="1:13" ht="45" x14ac:dyDescent="0.25">
      <c r="A22" s="19"/>
      <c r="B22" s="400">
        <v>8</v>
      </c>
      <c r="C22" s="401">
        <f t="shared" si="0"/>
        <v>21</v>
      </c>
      <c r="D22" s="199" t="s">
        <v>26</v>
      </c>
      <c r="E22" s="199" t="s">
        <v>831</v>
      </c>
      <c r="F22" s="202" t="s">
        <v>832</v>
      </c>
      <c r="G22" s="203">
        <f>59828.42-72572.81</f>
        <v>-12744.39</v>
      </c>
      <c r="H22" s="186" t="s">
        <v>839</v>
      </c>
      <c r="I22" s="19"/>
      <c r="J22" s="19"/>
      <c r="K22" s="19"/>
      <c r="L22" s="19"/>
      <c r="M22" s="19"/>
    </row>
    <row r="23" spans="1:13" ht="30" x14ac:dyDescent="0.25">
      <c r="A23" s="19"/>
      <c r="B23" s="400">
        <v>9</v>
      </c>
      <c r="C23" s="401">
        <f t="shared" si="0"/>
        <v>21</v>
      </c>
      <c r="D23" s="199" t="s">
        <v>26</v>
      </c>
      <c r="E23" s="199" t="s">
        <v>831</v>
      </c>
      <c r="F23" s="202" t="s">
        <v>832</v>
      </c>
      <c r="G23" s="203">
        <f>25045.28-0</f>
        <v>25045.279999999999</v>
      </c>
      <c r="H23" s="186" t="s">
        <v>840</v>
      </c>
      <c r="I23" s="19"/>
      <c r="J23" s="19"/>
      <c r="K23" s="19"/>
      <c r="L23" s="19"/>
      <c r="M23" s="19"/>
    </row>
    <row r="24" spans="1:13" ht="45" x14ac:dyDescent="0.25">
      <c r="A24" s="19"/>
      <c r="B24" s="400">
        <v>10</v>
      </c>
      <c r="C24" s="401">
        <f t="shared" si="0"/>
        <v>21</v>
      </c>
      <c r="D24" s="199" t="s">
        <v>26</v>
      </c>
      <c r="E24" s="199" t="s">
        <v>831</v>
      </c>
      <c r="F24" s="202" t="s">
        <v>832</v>
      </c>
      <c r="G24" s="203">
        <f>78978.91-45050.85</f>
        <v>33928.060000000005</v>
      </c>
      <c r="H24" s="186" t="s">
        <v>841</v>
      </c>
      <c r="I24" s="19"/>
      <c r="J24" s="19"/>
      <c r="K24" s="19"/>
      <c r="L24" s="19"/>
      <c r="M24" s="19"/>
    </row>
    <row r="25" spans="1:13" ht="45" x14ac:dyDescent="0.25">
      <c r="A25" s="19"/>
      <c r="B25" s="400">
        <v>11</v>
      </c>
      <c r="C25" s="401">
        <f t="shared" si="0"/>
        <v>21</v>
      </c>
      <c r="D25" s="199" t="s">
        <v>26</v>
      </c>
      <c r="E25" s="199" t="s">
        <v>831</v>
      </c>
      <c r="F25" s="202" t="s">
        <v>832</v>
      </c>
      <c r="G25" s="203">
        <f>52177.37-11462.02</f>
        <v>40715.350000000006</v>
      </c>
      <c r="H25" s="186" t="s">
        <v>842</v>
      </c>
      <c r="I25" s="19"/>
      <c r="J25" s="19"/>
      <c r="K25" s="19"/>
      <c r="L25" s="19"/>
      <c r="M25" s="19"/>
    </row>
    <row r="26" spans="1:13" ht="45" x14ac:dyDescent="0.25">
      <c r="A26" s="19"/>
      <c r="B26" s="400">
        <v>12</v>
      </c>
      <c r="C26" s="401">
        <f t="shared" si="0"/>
        <v>21</v>
      </c>
      <c r="D26" s="199" t="s">
        <v>26</v>
      </c>
      <c r="E26" s="199" t="s">
        <v>831</v>
      </c>
      <c r="F26" s="202" t="s">
        <v>832</v>
      </c>
      <c r="G26" s="203">
        <f>36489.63-53425.23</f>
        <v>-16935.600000000006</v>
      </c>
      <c r="H26" s="186" t="s">
        <v>843</v>
      </c>
      <c r="I26" s="19"/>
      <c r="J26" s="19"/>
      <c r="K26" s="19"/>
      <c r="L26" s="19"/>
      <c r="M26" s="19"/>
    </row>
    <row r="27" spans="1:13" ht="45" x14ac:dyDescent="0.25">
      <c r="A27" s="19"/>
      <c r="B27" s="400">
        <v>13</v>
      </c>
      <c r="C27" s="401">
        <f t="shared" si="0"/>
        <v>21</v>
      </c>
      <c r="D27" s="199" t="s">
        <v>26</v>
      </c>
      <c r="E27" s="199" t="s">
        <v>831</v>
      </c>
      <c r="F27" s="202" t="s">
        <v>832</v>
      </c>
      <c r="G27" s="203">
        <f>43460.43-27998.49</f>
        <v>15461.939999999999</v>
      </c>
      <c r="H27" s="186" t="s">
        <v>844</v>
      </c>
      <c r="I27" s="19"/>
      <c r="J27" s="19"/>
      <c r="K27" s="19"/>
      <c r="L27" s="19"/>
      <c r="M27" s="19"/>
    </row>
    <row r="28" spans="1:13" ht="45" x14ac:dyDescent="0.25">
      <c r="A28" s="19"/>
      <c r="B28" s="400">
        <v>14</v>
      </c>
      <c r="C28" s="401">
        <f t="shared" si="0"/>
        <v>21</v>
      </c>
      <c r="D28" s="199" t="s">
        <v>26</v>
      </c>
      <c r="E28" s="199" t="s">
        <v>831</v>
      </c>
      <c r="F28" s="202" t="s">
        <v>832</v>
      </c>
      <c r="G28" s="203">
        <f>26645.62-31104.85</f>
        <v>-4459.2299999999996</v>
      </c>
      <c r="H28" s="186" t="s">
        <v>845</v>
      </c>
      <c r="I28" s="19"/>
      <c r="J28" s="19"/>
      <c r="K28" s="19"/>
      <c r="L28" s="19"/>
      <c r="M28" s="19"/>
    </row>
    <row r="29" spans="1:13" ht="45" x14ac:dyDescent="0.25">
      <c r="A29" s="19"/>
      <c r="B29" s="400">
        <v>15</v>
      </c>
      <c r="C29" s="401">
        <f t="shared" si="0"/>
        <v>21</v>
      </c>
      <c r="D29" s="199" t="s">
        <v>26</v>
      </c>
      <c r="E29" s="199" t="s">
        <v>831</v>
      </c>
      <c r="F29" s="202" t="s">
        <v>832</v>
      </c>
      <c r="G29" s="203">
        <f>24472.17-18690.79</f>
        <v>5781.3799999999974</v>
      </c>
      <c r="H29" s="186" t="s">
        <v>846</v>
      </c>
      <c r="I29" s="19"/>
      <c r="J29" s="19"/>
      <c r="K29" s="19"/>
      <c r="L29" s="19"/>
      <c r="M29" s="19"/>
    </row>
    <row r="30" spans="1:13" ht="30" x14ac:dyDescent="0.25">
      <c r="A30" s="19"/>
      <c r="B30" s="400">
        <v>16</v>
      </c>
      <c r="C30" s="401">
        <f t="shared" si="0"/>
        <v>21</v>
      </c>
      <c r="D30" s="199" t="s">
        <v>27</v>
      </c>
      <c r="E30" s="199" t="s">
        <v>831</v>
      </c>
      <c r="F30" s="202" t="s">
        <v>832</v>
      </c>
      <c r="G30" s="203">
        <f>56923.1-24476.46</f>
        <v>32446.639999999999</v>
      </c>
      <c r="H30" s="186" t="s">
        <v>847</v>
      </c>
      <c r="I30" s="19"/>
      <c r="J30" s="19"/>
      <c r="K30" s="19"/>
      <c r="L30" s="19"/>
      <c r="M30" s="19"/>
    </row>
    <row r="31" spans="1:13" ht="30" x14ac:dyDescent="0.25">
      <c r="A31" s="19"/>
      <c r="B31" s="400">
        <v>17</v>
      </c>
      <c r="C31" s="401">
        <f t="shared" si="0"/>
        <v>21</v>
      </c>
      <c r="D31" s="199" t="s">
        <v>29</v>
      </c>
      <c r="E31" s="199" t="s">
        <v>831</v>
      </c>
      <c r="F31" s="202" t="s">
        <v>832</v>
      </c>
      <c r="G31" s="203">
        <f>61543.24-41345.07</f>
        <v>20198.169999999998</v>
      </c>
      <c r="H31" s="186" t="s">
        <v>848</v>
      </c>
      <c r="I31" s="19"/>
      <c r="J31" s="19"/>
      <c r="K31" s="19"/>
      <c r="L31" s="19"/>
      <c r="M31" s="19"/>
    </row>
    <row r="32" spans="1:13" ht="30" x14ac:dyDescent="0.25">
      <c r="A32" s="19"/>
      <c r="B32" s="400">
        <v>18</v>
      </c>
      <c r="C32" s="401">
        <f t="shared" si="0"/>
        <v>21</v>
      </c>
      <c r="D32" s="199" t="s">
        <v>29</v>
      </c>
      <c r="E32" s="199" t="s">
        <v>831</v>
      </c>
      <c r="F32" s="202" t="s">
        <v>849</v>
      </c>
      <c r="G32" s="203">
        <f>880+880+1075</f>
        <v>2835</v>
      </c>
      <c r="H32" s="186" t="s">
        <v>850</v>
      </c>
      <c r="I32" s="19"/>
      <c r="J32" s="19"/>
      <c r="K32" s="19"/>
      <c r="L32" s="19"/>
      <c r="M32" s="19"/>
    </row>
    <row r="33" spans="1:13" ht="45" x14ac:dyDescent="0.25">
      <c r="A33" s="19"/>
      <c r="B33" s="400">
        <v>19</v>
      </c>
      <c r="C33" s="401">
        <f t="shared" si="0"/>
        <v>21</v>
      </c>
      <c r="D33" s="199" t="s">
        <v>28</v>
      </c>
      <c r="E33" s="199" t="s">
        <v>831</v>
      </c>
      <c r="F33" s="202" t="s">
        <v>849</v>
      </c>
      <c r="G33" s="203">
        <v>-46112</v>
      </c>
      <c r="H33" s="186" t="s">
        <v>851</v>
      </c>
      <c r="I33" s="19"/>
      <c r="J33" s="19"/>
      <c r="K33" s="19"/>
      <c r="L33" s="19"/>
      <c r="M33" s="19"/>
    </row>
    <row r="34" spans="1:13" ht="45" x14ac:dyDescent="0.25">
      <c r="A34" s="19"/>
      <c r="B34" s="400">
        <v>20</v>
      </c>
      <c r="C34" s="401">
        <f t="shared" si="0"/>
        <v>21</v>
      </c>
      <c r="D34" s="199" t="s">
        <v>28</v>
      </c>
      <c r="E34" s="199" t="s">
        <v>831</v>
      </c>
      <c r="F34" s="202" t="s">
        <v>852</v>
      </c>
      <c r="G34" s="203">
        <v>46112</v>
      </c>
      <c r="H34" s="186" t="s">
        <v>853</v>
      </c>
      <c r="I34" s="19"/>
      <c r="J34" s="19"/>
      <c r="K34" s="19"/>
      <c r="L34" s="19"/>
      <c r="M34" s="19"/>
    </row>
    <row r="35" spans="1:13" ht="75" x14ac:dyDescent="0.25">
      <c r="A35" s="19"/>
      <c r="B35" s="400">
        <v>21</v>
      </c>
      <c r="C35" s="401">
        <f t="shared" si="0"/>
        <v>21</v>
      </c>
      <c r="D35" s="199" t="s">
        <v>27</v>
      </c>
      <c r="E35" s="199" t="s">
        <v>831</v>
      </c>
      <c r="F35" s="253" t="s">
        <v>832</v>
      </c>
      <c r="G35" s="203">
        <v>-500</v>
      </c>
      <c r="H35" s="186" t="s">
        <v>854</v>
      </c>
      <c r="I35" s="19"/>
      <c r="J35" s="19"/>
      <c r="K35" s="19"/>
      <c r="L35" s="19"/>
      <c r="M35" s="19"/>
    </row>
    <row r="36" spans="1:13" ht="30" x14ac:dyDescent="0.25">
      <c r="A36" s="19"/>
      <c r="B36" s="400">
        <v>22</v>
      </c>
      <c r="C36" s="401">
        <f t="shared" si="0"/>
        <v>21</v>
      </c>
      <c r="D36" s="199" t="s">
        <v>26</v>
      </c>
      <c r="E36" s="199" t="s">
        <v>831</v>
      </c>
      <c r="F36" s="202" t="s">
        <v>849</v>
      </c>
      <c r="G36" s="203">
        <v>10300</v>
      </c>
      <c r="H36" s="186" t="s">
        <v>855</v>
      </c>
      <c r="I36" s="19"/>
      <c r="J36" s="19"/>
      <c r="K36" s="19"/>
      <c r="L36" s="19"/>
      <c r="M36" s="19"/>
    </row>
    <row r="37" spans="1:13" ht="30" x14ac:dyDescent="0.25">
      <c r="A37" s="19"/>
      <c r="B37" s="400">
        <v>23</v>
      </c>
      <c r="C37" s="401">
        <f t="shared" si="0"/>
        <v>21</v>
      </c>
      <c r="D37" s="199" t="s">
        <v>26</v>
      </c>
      <c r="E37" s="199" t="s">
        <v>831</v>
      </c>
      <c r="F37" s="202" t="s">
        <v>849</v>
      </c>
      <c r="G37" s="203">
        <v>4291.6000000000004</v>
      </c>
      <c r="H37" s="186" t="s">
        <v>856</v>
      </c>
      <c r="I37" s="19"/>
      <c r="J37" s="19"/>
      <c r="K37" s="19"/>
      <c r="L37" s="19"/>
      <c r="M37" s="19"/>
    </row>
    <row r="38" spans="1:13" ht="45" x14ac:dyDescent="0.25">
      <c r="A38" s="19"/>
      <c r="B38" s="400">
        <v>24</v>
      </c>
      <c r="C38" s="401">
        <f t="shared" si="0"/>
        <v>21</v>
      </c>
      <c r="D38" s="199" t="s">
        <v>26</v>
      </c>
      <c r="E38" s="199" t="s">
        <v>831</v>
      </c>
      <c r="F38" s="253" t="s">
        <v>857</v>
      </c>
      <c r="G38" s="203">
        <v>-1399</v>
      </c>
      <c r="H38" s="186" t="s">
        <v>858</v>
      </c>
      <c r="I38" s="19"/>
      <c r="J38" s="19"/>
      <c r="K38" s="19"/>
      <c r="L38" s="19"/>
      <c r="M38" s="19"/>
    </row>
    <row r="39" spans="1:13" ht="45" x14ac:dyDescent="0.25">
      <c r="A39" s="19"/>
      <c r="B39" s="400">
        <v>25</v>
      </c>
      <c r="C39" s="401">
        <f t="shared" si="0"/>
        <v>21</v>
      </c>
      <c r="D39" s="199" t="s">
        <v>29</v>
      </c>
      <c r="E39" s="199" t="s">
        <v>831</v>
      </c>
      <c r="F39" s="202" t="s">
        <v>857</v>
      </c>
      <c r="G39" s="203">
        <v>1399</v>
      </c>
      <c r="H39" s="186" t="s">
        <v>858</v>
      </c>
      <c r="I39" s="19"/>
      <c r="J39" s="19"/>
      <c r="K39" s="19"/>
      <c r="L39" s="19"/>
      <c r="M39" s="19"/>
    </row>
    <row r="40" spans="1:13" ht="45" x14ac:dyDescent="0.25">
      <c r="A40" s="19"/>
      <c r="B40" s="400">
        <v>26</v>
      </c>
      <c r="C40" s="401">
        <f t="shared" si="0"/>
        <v>21</v>
      </c>
      <c r="D40" s="199" t="s">
        <v>26</v>
      </c>
      <c r="E40" s="199" t="s">
        <v>831</v>
      </c>
      <c r="F40" s="253" t="s">
        <v>857</v>
      </c>
      <c r="G40" s="203">
        <v>63.1</v>
      </c>
      <c r="H40" s="186" t="s">
        <v>859</v>
      </c>
      <c r="I40" s="19"/>
      <c r="J40" s="19"/>
      <c r="K40" s="19"/>
      <c r="L40" s="19"/>
      <c r="M40" s="19"/>
    </row>
    <row r="41" spans="1:13" ht="45" x14ac:dyDescent="0.25">
      <c r="A41" s="19"/>
      <c r="B41" s="400">
        <v>27</v>
      </c>
      <c r="C41" s="401">
        <f t="shared" si="0"/>
        <v>21</v>
      </c>
      <c r="D41" s="199" t="s">
        <v>29</v>
      </c>
      <c r="E41" s="199" t="s">
        <v>831</v>
      </c>
      <c r="F41" s="202" t="s">
        <v>857</v>
      </c>
      <c r="G41" s="203">
        <v>-63.1</v>
      </c>
      <c r="H41" s="186" t="s">
        <v>860</v>
      </c>
      <c r="I41" s="19"/>
      <c r="J41" s="19"/>
      <c r="K41" s="19"/>
      <c r="L41" s="19"/>
      <c r="M41" s="19"/>
    </row>
    <row r="42" spans="1:13" ht="30" x14ac:dyDescent="0.25">
      <c r="A42" s="19"/>
      <c r="B42" s="400">
        <v>28</v>
      </c>
      <c r="C42" s="401">
        <f t="shared" si="0"/>
        <v>21</v>
      </c>
      <c r="D42" s="199" t="s">
        <v>27</v>
      </c>
      <c r="E42" s="199" t="s">
        <v>831</v>
      </c>
      <c r="F42" s="202" t="s">
        <v>861</v>
      </c>
      <c r="G42" s="203">
        <v>11684.06</v>
      </c>
      <c r="H42" s="186" t="s">
        <v>862</v>
      </c>
      <c r="I42" s="19"/>
      <c r="J42" s="19"/>
      <c r="K42" s="19"/>
      <c r="L42" s="19"/>
      <c r="M42" s="19"/>
    </row>
    <row r="43" spans="1:13" ht="30" x14ac:dyDescent="0.25">
      <c r="A43" s="19"/>
      <c r="B43" s="400">
        <v>29</v>
      </c>
      <c r="C43" s="401">
        <f t="shared" si="0"/>
        <v>21</v>
      </c>
      <c r="D43" s="199" t="s">
        <v>27</v>
      </c>
      <c r="E43" s="199" t="s">
        <v>831</v>
      </c>
      <c r="F43" s="202" t="s">
        <v>857</v>
      </c>
      <c r="G43" s="203">
        <v>12431.51</v>
      </c>
      <c r="H43" s="186" t="s">
        <v>863</v>
      </c>
      <c r="I43" s="19"/>
      <c r="J43" s="19"/>
      <c r="K43" s="19"/>
      <c r="L43" s="19"/>
      <c r="M43" s="19"/>
    </row>
    <row r="44" spans="1:13" ht="30" x14ac:dyDescent="0.25">
      <c r="A44" s="19"/>
      <c r="B44" s="400">
        <v>30</v>
      </c>
      <c r="C44" s="401">
        <f t="shared" si="0"/>
        <v>21</v>
      </c>
      <c r="D44" s="199" t="s">
        <v>26</v>
      </c>
      <c r="E44" s="199" t="s">
        <v>831</v>
      </c>
      <c r="F44" s="202" t="s">
        <v>849</v>
      </c>
      <c r="G44" s="203">
        <v>-49</v>
      </c>
      <c r="H44" s="186" t="s">
        <v>864</v>
      </c>
      <c r="I44" s="19"/>
      <c r="J44" s="19"/>
      <c r="K44" s="19"/>
      <c r="L44" s="19"/>
      <c r="M44" s="19"/>
    </row>
    <row r="45" spans="1:13" ht="45" x14ac:dyDescent="0.25">
      <c r="A45" s="19"/>
      <c r="B45" s="400">
        <v>31</v>
      </c>
      <c r="C45" s="401">
        <f t="shared" si="0"/>
        <v>21</v>
      </c>
      <c r="D45" s="199" t="s">
        <v>26</v>
      </c>
      <c r="E45" s="199" t="s">
        <v>831</v>
      </c>
      <c r="F45" s="202" t="s">
        <v>849</v>
      </c>
      <c r="G45" s="203">
        <f>-158.32+163.07</f>
        <v>4.75</v>
      </c>
      <c r="H45" s="186" t="s">
        <v>865</v>
      </c>
      <c r="I45" s="19"/>
      <c r="J45" s="19"/>
      <c r="K45" s="19"/>
      <c r="L45" s="19"/>
      <c r="M45" s="19"/>
    </row>
    <row r="46" spans="1:13" ht="30" x14ac:dyDescent="0.25">
      <c r="A46" s="19"/>
      <c r="B46" s="400">
        <v>32</v>
      </c>
      <c r="C46" s="401">
        <f t="shared" si="0"/>
        <v>21</v>
      </c>
      <c r="D46" s="199" t="s">
        <v>26</v>
      </c>
      <c r="E46" s="199" t="s">
        <v>831</v>
      </c>
      <c r="F46" s="202" t="s">
        <v>849</v>
      </c>
      <c r="G46" s="203">
        <f>-8.49+9.21</f>
        <v>0.72000000000000064</v>
      </c>
      <c r="H46" s="186" t="s">
        <v>866</v>
      </c>
      <c r="I46" s="19"/>
      <c r="J46" s="19"/>
      <c r="K46" s="19"/>
      <c r="L46" s="19"/>
      <c r="M46" s="19"/>
    </row>
    <row r="47" spans="1:13" ht="30" x14ac:dyDescent="0.25">
      <c r="A47" s="19"/>
      <c r="B47" s="400">
        <v>33</v>
      </c>
      <c r="C47" s="401">
        <f t="shared" si="0"/>
        <v>21</v>
      </c>
      <c r="D47" s="199" t="s">
        <v>26</v>
      </c>
      <c r="E47" s="199" t="s">
        <v>831</v>
      </c>
      <c r="F47" s="202" t="s">
        <v>849</v>
      </c>
      <c r="G47" s="203">
        <f>-88.59+96.78</f>
        <v>8.1899999999999977</v>
      </c>
      <c r="H47" s="186" t="s">
        <v>867</v>
      </c>
      <c r="I47" s="19"/>
      <c r="J47" s="19"/>
      <c r="K47" s="19"/>
      <c r="L47" s="19"/>
      <c r="M47" s="19"/>
    </row>
    <row r="48" spans="1:13" x14ac:dyDescent="0.25">
      <c r="A48" s="19"/>
      <c r="B48" s="400">
        <v>34</v>
      </c>
      <c r="C48" s="401">
        <f t="shared" si="0"/>
        <v>21</v>
      </c>
      <c r="D48" s="199" t="s">
        <v>26</v>
      </c>
      <c r="E48" s="199" t="s">
        <v>831</v>
      </c>
      <c r="F48" s="202" t="s">
        <v>849</v>
      </c>
      <c r="G48" s="203">
        <f>-129.98-45.42</f>
        <v>-175.39999999999998</v>
      </c>
      <c r="H48" s="186" t="s">
        <v>868</v>
      </c>
      <c r="I48" s="19"/>
      <c r="J48" s="19"/>
      <c r="K48" s="19"/>
      <c r="L48" s="19"/>
      <c r="M48" s="19"/>
    </row>
    <row r="49" spans="1:13" x14ac:dyDescent="0.25">
      <c r="A49" s="19"/>
      <c r="B49" s="400">
        <v>35</v>
      </c>
      <c r="C49" s="401">
        <f t="shared" si="0"/>
        <v>21</v>
      </c>
      <c r="D49" s="199" t="s">
        <v>26</v>
      </c>
      <c r="E49" s="199" t="s">
        <v>831</v>
      </c>
      <c r="F49" s="202" t="s">
        <v>849</v>
      </c>
      <c r="G49" s="203">
        <v>142</v>
      </c>
      <c r="H49" s="186" t="s">
        <v>869</v>
      </c>
      <c r="I49" s="19"/>
      <c r="J49" s="19"/>
      <c r="K49" s="19"/>
      <c r="L49" s="19"/>
      <c r="M49" s="19"/>
    </row>
    <row r="50" spans="1:13" ht="45" x14ac:dyDescent="0.25">
      <c r="A50" s="19"/>
      <c r="B50" s="400">
        <v>36</v>
      </c>
      <c r="C50" s="401">
        <f t="shared" si="0"/>
        <v>21</v>
      </c>
      <c r="D50" s="199" t="s">
        <v>26</v>
      </c>
      <c r="E50" s="199" t="s">
        <v>831</v>
      </c>
      <c r="F50" s="202" t="s">
        <v>849</v>
      </c>
      <c r="G50" s="203">
        <v>3600</v>
      </c>
      <c r="H50" s="186" t="s">
        <v>870</v>
      </c>
      <c r="I50" s="19"/>
      <c r="J50" s="19"/>
      <c r="K50" s="19"/>
      <c r="L50" s="19"/>
      <c r="M50" s="19"/>
    </row>
    <row r="51" spans="1:13" ht="45" x14ac:dyDescent="0.25">
      <c r="A51" s="19"/>
      <c r="B51" s="400">
        <v>37</v>
      </c>
      <c r="C51" s="401">
        <f t="shared" si="0"/>
        <v>21</v>
      </c>
      <c r="D51" s="199" t="s">
        <v>26</v>
      </c>
      <c r="E51" s="199" t="s">
        <v>831</v>
      </c>
      <c r="F51" s="202" t="s">
        <v>849</v>
      </c>
      <c r="G51" s="464" t="s">
        <v>889</v>
      </c>
      <c r="H51" s="186" t="s">
        <v>871</v>
      </c>
      <c r="I51" s="19"/>
      <c r="J51" s="19"/>
      <c r="K51" s="19"/>
      <c r="L51" s="19"/>
      <c r="M51" s="19"/>
    </row>
    <row r="52" spans="1:13" ht="30" x14ac:dyDescent="0.25">
      <c r="A52" s="19"/>
      <c r="B52" s="400">
        <v>38</v>
      </c>
      <c r="C52" s="401">
        <f t="shared" si="0"/>
        <v>21</v>
      </c>
      <c r="D52" s="199" t="s">
        <v>27</v>
      </c>
      <c r="E52" s="199" t="s">
        <v>831</v>
      </c>
      <c r="F52" s="202" t="s">
        <v>857</v>
      </c>
      <c r="G52" s="203">
        <v>4219.1000000000004</v>
      </c>
      <c r="H52" s="186" t="s">
        <v>872</v>
      </c>
      <c r="I52" s="19"/>
      <c r="J52" s="19"/>
      <c r="K52" s="19"/>
      <c r="L52" s="19"/>
      <c r="M52" s="19"/>
    </row>
    <row r="53" spans="1:13" ht="30" x14ac:dyDescent="0.25">
      <c r="A53" s="19"/>
      <c r="B53" s="400">
        <v>39</v>
      </c>
      <c r="C53" s="401">
        <f t="shared" si="0"/>
        <v>21</v>
      </c>
      <c r="D53" s="199" t="s">
        <v>26</v>
      </c>
      <c r="E53" s="199" t="s">
        <v>831</v>
      </c>
      <c r="F53" s="202" t="s">
        <v>849</v>
      </c>
      <c r="G53" s="203">
        <v>282.97000000000003</v>
      </c>
      <c r="H53" s="186" t="s">
        <v>873</v>
      </c>
      <c r="I53" s="19"/>
      <c r="J53" s="19"/>
      <c r="K53" s="19"/>
      <c r="L53" s="19"/>
      <c r="M53" s="19"/>
    </row>
    <row r="54" spans="1:13" ht="30" x14ac:dyDescent="0.25">
      <c r="A54" s="19"/>
      <c r="B54" s="400">
        <v>40</v>
      </c>
      <c r="C54" s="401">
        <f t="shared" si="0"/>
        <v>21</v>
      </c>
      <c r="D54" s="199" t="s">
        <v>26</v>
      </c>
      <c r="E54" s="199" t="s">
        <v>831</v>
      </c>
      <c r="F54" s="202" t="s">
        <v>849</v>
      </c>
      <c r="G54" s="203">
        <v>157.16999999999999</v>
      </c>
      <c r="H54" s="186" t="s">
        <v>874</v>
      </c>
      <c r="I54" s="19"/>
      <c r="J54" s="19"/>
      <c r="K54" s="19"/>
      <c r="L54" s="19"/>
      <c r="M54" s="19"/>
    </row>
    <row r="55" spans="1:13" ht="30" x14ac:dyDescent="0.25">
      <c r="A55" s="19"/>
      <c r="B55" s="400">
        <v>41</v>
      </c>
      <c r="C55" s="401">
        <f t="shared" si="0"/>
        <v>21</v>
      </c>
      <c r="D55" s="199" t="s">
        <v>27</v>
      </c>
      <c r="E55" s="199" t="s">
        <v>831</v>
      </c>
      <c r="F55" s="202" t="s">
        <v>849</v>
      </c>
      <c r="G55" s="203">
        <v>11534.5</v>
      </c>
      <c r="H55" s="186" t="s">
        <v>875</v>
      </c>
      <c r="I55" s="19"/>
      <c r="J55" s="19"/>
      <c r="K55" s="19"/>
      <c r="L55" s="19"/>
      <c r="M55" s="19"/>
    </row>
    <row r="56" spans="1:13" ht="30" x14ac:dyDescent="0.25">
      <c r="A56" s="19"/>
      <c r="B56" s="400">
        <v>42</v>
      </c>
      <c r="C56" s="401">
        <f t="shared" si="0"/>
        <v>21</v>
      </c>
      <c r="D56" s="199" t="s">
        <v>26</v>
      </c>
      <c r="E56" s="199" t="s">
        <v>831</v>
      </c>
      <c r="F56" s="202" t="s">
        <v>849</v>
      </c>
      <c r="G56" s="203">
        <v>49.62</v>
      </c>
      <c r="H56" s="186" t="s">
        <v>876</v>
      </c>
      <c r="I56" s="19"/>
      <c r="J56" s="19"/>
      <c r="K56" s="19"/>
      <c r="L56" s="19"/>
      <c r="M56" s="19"/>
    </row>
    <row r="57" spans="1:13" ht="30" x14ac:dyDescent="0.25">
      <c r="A57" s="19"/>
      <c r="B57" s="400">
        <v>43</v>
      </c>
      <c r="C57" s="401">
        <f t="shared" si="0"/>
        <v>21</v>
      </c>
      <c r="D57" s="199" t="s">
        <v>26</v>
      </c>
      <c r="E57" s="199" t="s">
        <v>831</v>
      </c>
      <c r="F57" s="253" t="s">
        <v>832</v>
      </c>
      <c r="G57" s="203">
        <v>-304798.42</v>
      </c>
      <c r="H57" s="256" t="s">
        <v>884</v>
      </c>
      <c r="I57" s="19"/>
      <c r="J57" s="19"/>
      <c r="K57" s="19"/>
      <c r="L57" s="19"/>
      <c r="M57" s="19"/>
    </row>
    <row r="58" spans="1:13" ht="75" x14ac:dyDescent="0.25">
      <c r="A58" s="19"/>
      <c r="B58" s="400">
        <v>44</v>
      </c>
      <c r="C58" s="401">
        <f t="shared" si="0"/>
        <v>21</v>
      </c>
      <c r="D58" s="199" t="s">
        <v>28</v>
      </c>
      <c r="E58" s="199" t="s">
        <v>831</v>
      </c>
      <c r="F58" s="202" t="s">
        <v>832</v>
      </c>
      <c r="G58" s="203">
        <v>68325</v>
      </c>
      <c r="H58" s="186" t="s">
        <v>877</v>
      </c>
      <c r="I58" s="19"/>
      <c r="J58" s="19"/>
      <c r="K58" s="19"/>
      <c r="L58" s="19"/>
      <c r="M58" s="19"/>
    </row>
    <row r="59" spans="1:13" ht="60" x14ac:dyDescent="0.25">
      <c r="A59" s="19"/>
      <c r="B59" s="400">
        <v>45</v>
      </c>
      <c r="C59" s="401">
        <f t="shared" si="0"/>
        <v>21</v>
      </c>
      <c r="D59" s="199" t="s">
        <v>27</v>
      </c>
      <c r="E59" s="199" t="s">
        <v>831</v>
      </c>
      <c r="F59" s="202" t="s">
        <v>832</v>
      </c>
      <c r="G59" s="203">
        <v>567</v>
      </c>
      <c r="H59" s="256" t="s">
        <v>879</v>
      </c>
      <c r="I59" s="19"/>
      <c r="J59" s="19"/>
      <c r="K59" s="19"/>
      <c r="L59" s="19"/>
      <c r="M59" s="19"/>
    </row>
    <row r="60" spans="1:13" x14ac:dyDescent="0.25">
      <c r="A60" s="19"/>
      <c r="B60" s="156">
        <v>46</v>
      </c>
      <c r="C60" s="240" t="str">
        <f t="shared" si="0"/>
        <v/>
      </c>
      <c r="D60" s="469"/>
      <c r="E60" s="469"/>
      <c r="F60" s="470"/>
      <c r="G60" s="471"/>
      <c r="H60" s="364"/>
      <c r="I60" s="19"/>
      <c r="J60" s="19"/>
      <c r="K60" s="19"/>
      <c r="L60" s="19"/>
      <c r="M60" s="19"/>
    </row>
    <row r="61" spans="1:13" x14ac:dyDescent="0.25">
      <c r="A61" s="19"/>
      <c r="B61" s="156">
        <v>47</v>
      </c>
      <c r="C61" s="240" t="str">
        <f t="shared" si="0"/>
        <v/>
      </c>
      <c r="D61" s="469"/>
      <c r="E61" s="469"/>
      <c r="F61" s="470"/>
      <c r="G61" s="471"/>
      <c r="H61" s="364"/>
      <c r="I61" s="19"/>
      <c r="J61" s="19"/>
      <c r="K61" s="19"/>
      <c r="L61" s="19"/>
      <c r="M61" s="19"/>
    </row>
    <row r="62" spans="1:13" ht="30" x14ac:dyDescent="0.25">
      <c r="A62" s="19"/>
      <c r="B62" s="400">
        <v>48</v>
      </c>
      <c r="C62" s="401">
        <f t="shared" si="0"/>
        <v>21</v>
      </c>
      <c r="D62" s="199" t="s">
        <v>26</v>
      </c>
      <c r="E62" s="199" t="s">
        <v>831</v>
      </c>
      <c r="F62" s="202" t="s">
        <v>832</v>
      </c>
      <c r="G62" s="203">
        <f>3713.67+35.55</f>
        <v>3749.2200000000003</v>
      </c>
      <c r="H62" s="256" t="s">
        <v>880</v>
      </c>
      <c r="I62" s="19"/>
      <c r="J62" s="19"/>
      <c r="K62" s="19"/>
      <c r="L62" s="19"/>
      <c r="M62" s="19"/>
    </row>
    <row r="63" spans="1:13" ht="30" x14ac:dyDescent="0.25">
      <c r="A63" s="19"/>
      <c r="B63" s="400">
        <v>49</v>
      </c>
      <c r="C63" s="401">
        <f t="shared" ref="C63:C84" si="1">IF(G63&lt;&gt;0,VLOOKUP($D$9,Info_County_Code,2,FALSE),"")</f>
        <v>21</v>
      </c>
      <c r="D63" s="199" t="s">
        <v>27</v>
      </c>
      <c r="E63" s="199" t="s">
        <v>831</v>
      </c>
      <c r="F63" s="202" t="s">
        <v>832</v>
      </c>
      <c r="G63" s="203">
        <v>1359.02</v>
      </c>
      <c r="H63" s="256" t="s">
        <v>881</v>
      </c>
      <c r="I63" s="19"/>
      <c r="J63" s="19"/>
      <c r="K63" s="19"/>
      <c r="L63" s="19"/>
      <c r="M63" s="19"/>
    </row>
    <row r="64" spans="1:13" ht="30" x14ac:dyDescent="0.25">
      <c r="A64" s="19"/>
      <c r="B64" s="400">
        <v>50</v>
      </c>
      <c r="C64" s="401">
        <f t="shared" si="1"/>
        <v>21</v>
      </c>
      <c r="D64" s="199" t="s">
        <v>28</v>
      </c>
      <c r="E64" s="199" t="s">
        <v>831</v>
      </c>
      <c r="F64" s="202" t="s">
        <v>832</v>
      </c>
      <c r="G64" s="203">
        <v>-5454.7</v>
      </c>
      <c r="H64" s="256" t="s">
        <v>882</v>
      </c>
      <c r="I64" s="19"/>
      <c r="J64" s="19"/>
      <c r="K64" s="19"/>
      <c r="L64" s="19"/>
      <c r="M64" s="19"/>
    </row>
    <row r="65" spans="1:13" x14ac:dyDescent="0.25">
      <c r="A65" s="19"/>
      <c r="B65" s="156">
        <v>51</v>
      </c>
      <c r="C65" s="240" t="str">
        <f t="shared" si="1"/>
        <v/>
      </c>
      <c r="D65" s="469"/>
      <c r="E65" s="469"/>
      <c r="F65" s="470"/>
      <c r="G65" s="471"/>
      <c r="H65" s="472"/>
      <c r="I65" s="19"/>
      <c r="J65" s="19"/>
      <c r="K65" s="19"/>
      <c r="L65" s="19"/>
      <c r="M65" s="19"/>
    </row>
    <row r="66" spans="1:13" ht="30" x14ac:dyDescent="0.25">
      <c r="A66" s="19"/>
      <c r="B66" s="400">
        <v>52</v>
      </c>
      <c r="C66" s="401">
        <f t="shared" si="1"/>
        <v>21</v>
      </c>
      <c r="D66" s="199" t="s">
        <v>29</v>
      </c>
      <c r="E66" s="199" t="s">
        <v>831</v>
      </c>
      <c r="F66" s="202" t="s">
        <v>832</v>
      </c>
      <c r="G66" s="203">
        <v>346.46</v>
      </c>
      <c r="H66" s="256" t="s">
        <v>883</v>
      </c>
      <c r="I66" s="19"/>
      <c r="J66" s="19"/>
      <c r="K66" s="19"/>
      <c r="L66" s="19"/>
      <c r="M66" s="19"/>
    </row>
    <row r="67" spans="1:13" x14ac:dyDescent="0.25">
      <c r="A67" s="19"/>
      <c r="B67" s="156">
        <v>53</v>
      </c>
      <c r="C67" s="240" t="str">
        <f t="shared" si="1"/>
        <v/>
      </c>
      <c r="D67" s="469"/>
      <c r="E67" s="469"/>
      <c r="F67" s="470"/>
      <c r="G67" s="471"/>
      <c r="H67" s="364"/>
      <c r="I67" s="19"/>
      <c r="J67" s="19"/>
      <c r="K67" s="19"/>
      <c r="L67" s="19"/>
      <c r="M67" s="19"/>
    </row>
    <row r="68" spans="1:13" x14ac:dyDescent="0.25">
      <c r="A68" s="19"/>
      <c r="B68" s="156">
        <v>54</v>
      </c>
      <c r="C68" s="240" t="str">
        <f t="shared" si="1"/>
        <v/>
      </c>
      <c r="D68" s="469"/>
      <c r="E68" s="469"/>
      <c r="F68" s="470"/>
      <c r="G68" s="471"/>
      <c r="H68" s="364"/>
      <c r="I68" s="19"/>
      <c r="J68" s="19"/>
      <c r="K68" s="19"/>
      <c r="L68" s="19"/>
      <c r="M68" s="19"/>
    </row>
    <row r="69" spans="1:13" x14ac:dyDescent="0.25">
      <c r="A69" s="19"/>
      <c r="B69" s="156">
        <v>55</v>
      </c>
      <c r="C69" s="240" t="str">
        <f t="shared" si="1"/>
        <v/>
      </c>
      <c r="D69" s="469"/>
      <c r="E69" s="469"/>
      <c r="F69" s="470"/>
      <c r="G69" s="471"/>
      <c r="H69" s="364"/>
      <c r="I69" s="19"/>
      <c r="J69" s="19"/>
      <c r="K69" s="19"/>
      <c r="L69" s="19"/>
      <c r="M69" s="19"/>
    </row>
    <row r="70" spans="1:13" x14ac:dyDescent="0.25">
      <c r="A70" s="19"/>
      <c r="B70" s="156">
        <v>56</v>
      </c>
      <c r="C70" s="240" t="str">
        <f t="shared" si="1"/>
        <v/>
      </c>
      <c r="D70" s="469"/>
      <c r="E70" s="469"/>
      <c r="F70" s="470"/>
      <c r="G70" s="471"/>
      <c r="H70" s="364"/>
      <c r="I70" s="19"/>
      <c r="J70" s="19"/>
      <c r="K70" s="19"/>
      <c r="L70" s="19"/>
      <c r="M70" s="19"/>
    </row>
    <row r="71" spans="1:13" x14ac:dyDescent="0.25">
      <c r="A71" s="19"/>
      <c r="B71" s="156">
        <v>57</v>
      </c>
      <c r="C71" s="240" t="str">
        <f t="shared" si="1"/>
        <v/>
      </c>
      <c r="D71" s="469"/>
      <c r="E71" s="469"/>
      <c r="F71" s="470"/>
      <c r="G71" s="471"/>
      <c r="H71" s="364"/>
      <c r="I71" s="19"/>
      <c r="J71" s="19"/>
      <c r="K71" s="19"/>
      <c r="L71" s="19"/>
      <c r="M71" s="19"/>
    </row>
    <row r="72" spans="1:13" x14ac:dyDescent="0.25">
      <c r="A72" s="19"/>
      <c r="B72" s="156">
        <v>58</v>
      </c>
      <c r="C72" s="240" t="str">
        <f t="shared" si="1"/>
        <v/>
      </c>
      <c r="D72" s="469"/>
      <c r="E72" s="469"/>
      <c r="F72" s="470"/>
      <c r="G72" s="471"/>
      <c r="H72" s="364"/>
      <c r="I72" s="19"/>
      <c r="J72" s="19"/>
      <c r="K72" s="19"/>
      <c r="L72" s="19"/>
      <c r="M72" s="19"/>
    </row>
    <row r="73" spans="1:13" x14ac:dyDescent="0.25">
      <c r="A73" s="19"/>
      <c r="B73" s="156">
        <v>59</v>
      </c>
      <c r="C73" s="240" t="str">
        <f t="shared" si="1"/>
        <v/>
      </c>
      <c r="D73" s="469"/>
      <c r="E73" s="469"/>
      <c r="F73" s="470"/>
      <c r="G73" s="471"/>
      <c r="H73" s="364"/>
      <c r="I73" s="19"/>
      <c r="J73" s="19"/>
      <c r="K73" s="19"/>
      <c r="L73" s="19"/>
      <c r="M73" s="19"/>
    </row>
    <row r="74" spans="1:13" x14ac:dyDescent="0.25">
      <c r="A74" s="19"/>
      <c r="B74" s="156">
        <v>60</v>
      </c>
      <c r="C74" s="240" t="str">
        <f t="shared" si="1"/>
        <v/>
      </c>
      <c r="D74" s="469"/>
      <c r="E74" s="469"/>
      <c r="F74" s="470"/>
      <c r="G74" s="471"/>
      <c r="H74" s="364"/>
      <c r="I74" s="19"/>
      <c r="J74" s="19"/>
      <c r="K74" s="19"/>
      <c r="L74" s="19"/>
      <c r="M74" s="19"/>
    </row>
    <row r="75" spans="1:13" x14ac:dyDescent="0.25">
      <c r="A75" s="19"/>
      <c r="B75" s="156">
        <v>61</v>
      </c>
      <c r="C75" s="240" t="str">
        <f t="shared" si="1"/>
        <v/>
      </c>
      <c r="D75" s="469"/>
      <c r="E75" s="469"/>
      <c r="F75" s="470"/>
      <c r="G75" s="471"/>
      <c r="H75" s="364"/>
      <c r="I75" s="19"/>
      <c r="J75" s="19"/>
      <c r="K75" s="19"/>
      <c r="L75" s="19"/>
      <c r="M75" s="19"/>
    </row>
    <row r="76" spans="1:13" x14ac:dyDescent="0.25">
      <c r="A76" s="19"/>
      <c r="B76" s="156">
        <v>62</v>
      </c>
      <c r="C76" s="240" t="str">
        <f t="shared" si="1"/>
        <v/>
      </c>
      <c r="D76" s="469"/>
      <c r="E76" s="469"/>
      <c r="F76" s="470"/>
      <c r="G76" s="471"/>
      <c r="H76" s="364"/>
      <c r="I76" s="19"/>
      <c r="J76" s="19"/>
      <c r="K76" s="19"/>
      <c r="L76" s="19"/>
      <c r="M76" s="19"/>
    </row>
    <row r="77" spans="1:13" x14ac:dyDescent="0.25">
      <c r="A77" s="19"/>
      <c r="B77" s="156">
        <v>63</v>
      </c>
      <c r="C77" s="240" t="str">
        <f t="shared" si="1"/>
        <v/>
      </c>
      <c r="D77" s="469"/>
      <c r="E77" s="469"/>
      <c r="F77" s="470"/>
      <c r="G77" s="471"/>
      <c r="H77" s="364"/>
      <c r="I77" s="19"/>
      <c r="J77" s="19"/>
      <c r="K77" s="19"/>
      <c r="L77" s="19"/>
      <c r="M77" s="19"/>
    </row>
    <row r="78" spans="1:13" x14ac:dyDescent="0.25">
      <c r="A78" s="19"/>
      <c r="B78" s="156">
        <v>64</v>
      </c>
      <c r="C78" s="240" t="str">
        <f t="shared" si="1"/>
        <v/>
      </c>
      <c r="D78" s="469"/>
      <c r="E78" s="469"/>
      <c r="F78" s="470"/>
      <c r="G78" s="471"/>
      <c r="H78" s="364"/>
      <c r="I78" s="19"/>
      <c r="J78" s="19"/>
      <c r="K78" s="19"/>
      <c r="L78" s="19"/>
      <c r="M78" s="19"/>
    </row>
    <row r="79" spans="1:13" x14ac:dyDescent="0.25">
      <c r="A79" s="19"/>
      <c r="B79" s="156">
        <v>65</v>
      </c>
      <c r="C79" s="240" t="str">
        <f t="shared" si="1"/>
        <v/>
      </c>
      <c r="D79" s="469"/>
      <c r="E79" s="469"/>
      <c r="F79" s="470"/>
      <c r="G79" s="471"/>
      <c r="H79" s="364"/>
      <c r="I79" s="19"/>
      <c r="J79" s="19"/>
      <c r="K79" s="19"/>
      <c r="L79" s="19"/>
      <c r="M79" s="19"/>
    </row>
    <row r="80" spans="1:13" x14ac:dyDescent="0.25">
      <c r="A80" s="19"/>
      <c r="B80" s="156">
        <v>66</v>
      </c>
      <c r="C80" s="240" t="str">
        <f t="shared" si="1"/>
        <v/>
      </c>
      <c r="D80" s="469"/>
      <c r="E80" s="469"/>
      <c r="F80" s="470"/>
      <c r="G80" s="471"/>
      <c r="H80" s="364"/>
      <c r="I80" s="19"/>
      <c r="J80" s="19"/>
      <c r="K80" s="19"/>
      <c r="L80" s="19"/>
      <c r="M80" s="19"/>
    </row>
    <row r="81" spans="1:13" x14ac:dyDescent="0.25">
      <c r="A81" s="19"/>
      <c r="B81" s="156">
        <v>67</v>
      </c>
      <c r="C81" s="240" t="str">
        <f t="shared" si="1"/>
        <v/>
      </c>
      <c r="D81" s="469"/>
      <c r="E81" s="469"/>
      <c r="F81" s="470"/>
      <c r="G81" s="471"/>
      <c r="H81" s="364"/>
      <c r="I81" s="19"/>
      <c r="J81" s="19"/>
      <c r="K81" s="19"/>
      <c r="L81" s="19"/>
      <c r="M81" s="19"/>
    </row>
    <row r="82" spans="1:13" x14ac:dyDescent="0.25">
      <c r="A82" s="19"/>
      <c r="B82" s="156">
        <v>68</v>
      </c>
      <c r="C82" s="240" t="str">
        <f t="shared" si="1"/>
        <v/>
      </c>
      <c r="D82" s="469"/>
      <c r="E82" s="469"/>
      <c r="F82" s="470"/>
      <c r="G82" s="471"/>
      <c r="H82" s="364"/>
      <c r="I82" s="19"/>
      <c r="J82" s="19"/>
      <c r="K82" s="19"/>
      <c r="L82" s="19"/>
      <c r="M82" s="19"/>
    </row>
    <row r="83" spans="1:13" x14ac:dyDescent="0.25">
      <c r="A83" s="19"/>
      <c r="B83" s="156">
        <v>69</v>
      </c>
      <c r="C83" s="240" t="str">
        <f t="shared" si="1"/>
        <v/>
      </c>
      <c r="D83" s="469"/>
      <c r="E83" s="469"/>
      <c r="F83" s="470"/>
      <c r="G83" s="471"/>
      <c r="H83" s="364"/>
      <c r="I83" s="19"/>
      <c r="J83" s="19"/>
      <c r="K83" s="19"/>
      <c r="L83" s="19"/>
      <c r="M83" s="19"/>
    </row>
    <row r="84" spans="1:13" x14ac:dyDescent="0.25">
      <c r="A84" s="19"/>
      <c r="B84" s="156">
        <v>70</v>
      </c>
      <c r="C84" s="240" t="str">
        <f t="shared" si="1"/>
        <v/>
      </c>
      <c r="D84" s="469"/>
      <c r="E84" s="469"/>
      <c r="F84" s="470"/>
      <c r="G84" s="471"/>
      <c r="H84" s="364"/>
      <c r="I84" s="19"/>
      <c r="J84" s="19"/>
      <c r="K84" s="19"/>
      <c r="L84" s="19"/>
      <c r="M84" s="19"/>
    </row>
    <row r="85" spans="1:13" s="19" customFormat="1" x14ac:dyDescent="0.25">
      <c r="C85" s="25" t="str">
        <f>IF(NOT(COUNTA(E85:H85)),"",VLOOKUP(E23,Info_County_Code,2,FALSE))</f>
        <v/>
      </c>
      <c r="D85" s="17"/>
      <c r="E85" s="17"/>
      <c r="F85" s="17"/>
      <c r="G85" s="26"/>
    </row>
    <row r="86" spans="1:13" s="19" customFormat="1" x14ac:dyDescent="0.25">
      <c r="D86" s="25"/>
      <c r="E86" s="25"/>
      <c r="F86" s="20"/>
    </row>
    <row r="87" spans="1:13" ht="18" thickBot="1" x14ac:dyDescent="0.35">
      <c r="A87" s="19"/>
      <c r="B87" s="352" t="s">
        <v>212</v>
      </c>
      <c r="C87" s="141"/>
      <c r="D87" s="167"/>
      <c r="E87" s="167"/>
      <c r="F87" s="144"/>
      <c r="G87" s="141"/>
      <c r="H87" s="19"/>
      <c r="I87" s="19"/>
      <c r="J87" s="19"/>
      <c r="K87" s="19"/>
      <c r="L87" s="19"/>
      <c r="M87" s="19"/>
    </row>
    <row r="88" spans="1:13" ht="15.6" thickTop="1" x14ac:dyDescent="0.25">
      <c r="A88" s="19"/>
      <c r="B88" s="19"/>
      <c r="C88" s="19"/>
      <c r="D88" s="25"/>
      <c r="E88" s="25"/>
      <c r="F88" s="20"/>
      <c r="G88" s="19"/>
      <c r="H88" s="19"/>
      <c r="I88" s="19"/>
      <c r="J88" s="19"/>
      <c r="K88" s="19"/>
      <c r="L88" s="19"/>
      <c r="M88" s="19"/>
    </row>
    <row r="89" spans="1:13" x14ac:dyDescent="0.25">
      <c r="A89" s="19"/>
      <c r="B89" s="19"/>
      <c r="C89" s="467" t="s">
        <v>22</v>
      </c>
      <c r="D89" s="468" t="s">
        <v>23</v>
      </c>
      <c r="E89" s="293" t="s">
        <v>25</v>
      </c>
      <c r="F89" s="374" t="s">
        <v>199</v>
      </c>
      <c r="G89" s="330" t="s">
        <v>200</v>
      </c>
      <c r="H89" s="19"/>
      <c r="I89" s="19"/>
      <c r="J89" s="19"/>
      <c r="K89" s="19"/>
      <c r="L89" s="19"/>
      <c r="M89" s="19"/>
    </row>
    <row r="90" spans="1:13" ht="46.8" x14ac:dyDescent="0.25">
      <c r="A90" s="19"/>
      <c r="B90" s="393" t="s">
        <v>117</v>
      </c>
      <c r="C90" s="455" t="s">
        <v>165</v>
      </c>
      <c r="D90" s="455" t="s">
        <v>541</v>
      </c>
      <c r="E90" s="395" t="s">
        <v>749</v>
      </c>
      <c r="F90" s="395" t="s">
        <v>101</v>
      </c>
      <c r="G90" s="395" t="s">
        <v>102</v>
      </c>
      <c r="H90" s="19"/>
      <c r="I90" s="19"/>
      <c r="J90" s="19"/>
      <c r="K90" s="19"/>
      <c r="L90" s="19"/>
      <c r="M90" s="19"/>
    </row>
    <row r="91" spans="1:13" x14ac:dyDescent="0.25">
      <c r="A91" s="19"/>
      <c r="B91" s="156">
        <v>71</v>
      </c>
      <c r="C91" s="240" t="str">
        <f t="shared" ref="C91:C120" si="2">IF(F91&lt;&gt;0,VLOOKUP($D$9,Info_County_Code,2,FALSE),"")</f>
        <v/>
      </c>
      <c r="D91" s="228" t="s">
        <v>163</v>
      </c>
      <c r="E91" s="470"/>
      <c r="F91" s="471"/>
      <c r="G91" s="364"/>
      <c r="H91" s="19"/>
      <c r="I91" s="19"/>
      <c r="J91" s="19"/>
      <c r="K91" s="19"/>
      <c r="L91" s="19"/>
      <c r="M91" s="19"/>
    </row>
    <row r="92" spans="1:13" x14ac:dyDescent="0.25">
      <c r="A92" s="19"/>
      <c r="B92" s="156">
        <v>72</v>
      </c>
      <c r="C92" s="240" t="str">
        <f t="shared" si="2"/>
        <v/>
      </c>
      <c r="D92" s="168" t="s">
        <v>163</v>
      </c>
      <c r="E92" s="470"/>
      <c r="F92" s="471"/>
      <c r="G92" s="364"/>
      <c r="H92" s="19"/>
      <c r="I92" s="19"/>
      <c r="J92" s="19"/>
      <c r="K92" s="19"/>
      <c r="L92" s="19"/>
      <c r="M92" s="19"/>
    </row>
    <row r="93" spans="1:13" x14ac:dyDescent="0.25">
      <c r="A93" s="19"/>
      <c r="B93" s="156">
        <v>73</v>
      </c>
      <c r="C93" s="240" t="str">
        <f t="shared" si="2"/>
        <v/>
      </c>
      <c r="D93" s="168" t="s">
        <v>163</v>
      </c>
      <c r="E93" s="470"/>
      <c r="F93" s="471"/>
      <c r="G93" s="364"/>
      <c r="H93" s="19"/>
      <c r="I93" s="19"/>
      <c r="J93" s="19"/>
      <c r="K93" s="19"/>
      <c r="L93" s="19"/>
      <c r="M93" s="19"/>
    </row>
    <row r="94" spans="1:13" x14ac:dyDescent="0.25">
      <c r="A94" s="19"/>
      <c r="B94" s="156">
        <v>74</v>
      </c>
      <c r="C94" s="240" t="str">
        <f t="shared" si="2"/>
        <v/>
      </c>
      <c r="D94" s="168" t="s">
        <v>163</v>
      </c>
      <c r="E94" s="470"/>
      <c r="F94" s="471"/>
      <c r="G94" s="364"/>
      <c r="H94" s="19"/>
      <c r="I94" s="19"/>
      <c r="J94" s="19"/>
      <c r="K94" s="19"/>
      <c r="L94" s="19"/>
      <c r="M94" s="19"/>
    </row>
    <row r="95" spans="1:13" x14ac:dyDescent="0.25">
      <c r="A95" s="19"/>
      <c r="B95" s="156">
        <v>75</v>
      </c>
      <c r="C95" s="240" t="str">
        <f t="shared" si="2"/>
        <v/>
      </c>
      <c r="D95" s="168" t="s">
        <v>163</v>
      </c>
      <c r="E95" s="470"/>
      <c r="F95" s="471"/>
      <c r="G95" s="364"/>
      <c r="H95" s="19"/>
      <c r="I95" s="19"/>
      <c r="J95" s="19"/>
      <c r="K95" s="19"/>
      <c r="L95" s="19"/>
      <c r="M95" s="19"/>
    </row>
    <row r="96" spans="1:13" x14ac:dyDescent="0.25">
      <c r="A96" s="19"/>
      <c r="B96" s="156">
        <v>76</v>
      </c>
      <c r="C96" s="240" t="str">
        <f t="shared" si="2"/>
        <v/>
      </c>
      <c r="D96" s="168" t="s">
        <v>163</v>
      </c>
      <c r="E96" s="470"/>
      <c r="F96" s="471"/>
      <c r="G96" s="364"/>
      <c r="H96" s="19"/>
      <c r="I96" s="19"/>
      <c r="J96" s="19"/>
      <c r="K96" s="19"/>
      <c r="L96" s="19"/>
      <c r="M96" s="19"/>
    </row>
    <row r="97" spans="1:13" x14ac:dyDescent="0.25">
      <c r="A97" s="19"/>
      <c r="B97" s="156">
        <v>77</v>
      </c>
      <c r="C97" s="240" t="str">
        <f t="shared" si="2"/>
        <v/>
      </c>
      <c r="D97" s="168" t="s">
        <v>163</v>
      </c>
      <c r="E97" s="470"/>
      <c r="F97" s="471"/>
      <c r="G97" s="364"/>
      <c r="H97" s="19"/>
      <c r="I97" s="19"/>
      <c r="J97" s="19"/>
      <c r="K97" s="19"/>
      <c r="L97" s="19"/>
      <c r="M97" s="19"/>
    </row>
    <row r="98" spans="1:13" x14ac:dyDescent="0.25">
      <c r="A98" s="19"/>
      <c r="B98" s="156">
        <v>78</v>
      </c>
      <c r="C98" s="240" t="str">
        <f t="shared" si="2"/>
        <v/>
      </c>
      <c r="D98" s="168" t="s">
        <v>163</v>
      </c>
      <c r="E98" s="470"/>
      <c r="F98" s="471"/>
      <c r="G98" s="364"/>
      <c r="H98" s="19"/>
      <c r="I98" s="19"/>
      <c r="J98" s="19"/>
      <c r="K98" s="19"/>
      <c r="L98" s="19"/>
      <c r="M98" s="19"/>
    </row>
    <row r="99" spans="1:13" x14ac:dyDescent="0.25">
      <c r="A99" s="19"/>
      <c r="B99" s="156">
        <v>79</v>
      </c>
      <c r="C99" s="240" t="str">
        <f t="shared" si="2"/>
        <v/>
      </c>
      <c r="D99" s="168" t="s">
        <v>163</v>
      </c>
      <c r="E99" s="470"/>
      <c r="F99" s="471"/>
      <c r="G99" s="364"/>
      <c r="H99" s="19"/>
      <c r="I99" s="19"/>
      <c r="J99" s="19"/>
      <c r="K99" s="19"/>
      <c r="L99" s="19"/>
      <c r="M99" s="19"/>
    </row>
    <row r="100" spans="1:13" x14ac:dyDescent="0.25">
      <c r="A100" s="19"/>
      <c r="B100" s="156">
        <v>80</v>
      </c>
      <c r="C100" s="240" t="str">
        <f t="shared" si="2"/>
        <v/>
      </c>
      <c r="D100" s="168" t="s">
        <v>163</v>
      </c>
      <c r="E100" s="470"/>
      <c r="F100" s="471"/>
      <c r="G100" s="364"/>
      <c r="H100" s="19"/>
      <c r="I100" s="19"/>
      <c r="J100" s="19"/>
      <c r="K100" s="19"/>
      <c r="L100" s="19"/>
      <c r="M100" s="19"/>
    </row>
    <row r="101" spans="1:13" x14ac:dyDescent="0.25">
      <c r="A101" s="19"/>
      <c r="B101" s="156">
        <v>81</v>
      </c>
      <c r="C101" s="240" t="str">
        <f t="shared" si="2"/>
        <v/>
      </c>
      <c r="D101" s="168" t="s">
        <v>163</v>
      </c>
      <c r="E101" s="470"/>
      <c r="F101" s="471"/>
      <c r="G101" s="364"/>
      <c r="H101" s="19"/>
      <c r="I101" s="19"/>
      <c r="J101" s="19"/>
      <c r="K101" s="19"/>
      <c r="L101" s="19"/>
      <c r="M101" s="19"/>
    </row>
    <row r="102" spans="1:13" x14ac:dyDescent="0.25">
      <c r="A102" s="19"/>
      <c r="B102" s="156">
        <v>82</v>
      </c>
      <c r="C102" s="240" t="str">
        <f t="shared" si="2"/>
        <v/>
      </c>
      <c r="D102" s="168" t="s">
        <v>163</v>
      </c>
      <c r="E102" s="470"/>
      <c r="F102" s="471"/>
      <c r="G102" s="364"/>
      <c r="H102" s="19"/>
      <c r="I102" s="19"/>
      <c r="J102" s="19"/>
      <c r="K102" s="19"/>
      <c r="L102" s="19"/>
      <c r="M102" s="19"/>
    </row>
    <row r="103" spans="1:13" x14ac:dyDescent="0.25">
      <c r="A103" s="19"/>
      <c r="B103" s="156">
        <v>83</v>
      </c>
      <c r="C103" s="240" t="str">
        <f t="shared" si="2"/>
        <v/>
      </c>
      <c r="D103" s="168" t="s">
        <v>163</v>
      </c>
      <c r="E103" s="470"/>
      <c r="F103" s="471"/>
      <c r="G103" s="364"/>
      <c r="H103" s="19"/>
      <c r="I103" s="19"/>
      <c r="J103" s="19"/>
      <c r="K103" s="19"/>
      <c r="L103" s="19"/>
      <c r="M103" s="19"/>
    </row>
    <row r="104" spans="1:13" x14ac:dyDescent="0.25">
      <c r="A104" s="19"/>
      <c r="B104" s="156">
        <v>84</v>
      </c>
      <c r="C104" s="240" t="str">
        <f t="shared" si="2"/>
        <v/>
      </c>
      <c r="D104" s="168" t="s">
        <v>163</v>
      </c>
      <c r="E104" s="470"/>
      <c r="F104" s="471"/>
      <c r="G104" s="364"/>
      <c r="H104" s="19"/>
      <c r="I104" s="19"/>
      <c r="J104" s="19"/>
      <c r="K104" s="19"/>
      <c r="L104" s="19"/>
      <c r="M104" s="19"/>
    </row>
    <row r="105" spans="1:13" x14ac:dyDescent="0.25">
      <c r="A105" s="19"/>
      <c r="B105" s="156">
        <v>85</v>
      </c>
      <c r="C105" s="240" t="str">
        <f t="shared" si="2"/>
        <v/>
      </c>
      <c r="D105" s="168" t="s">
        <v>163</v>
      </c>
      <c r="E105" s="470"/>
      <c r="F105" s="471"/>
      <c r="G105" s="364"/>
      <c r="H105" s="19"/>
      <c r="I105" s="19"/>
      <c r="J105" s="19"/>
      <c r="K105" s="19"/>
      <c r="L105" s="19"/>
      <c r="M105" s="19"/>
    </row>
    <row r="106" spans="1:13" x14ac:dyDescent="0.25">
      <c r="A106" s="19"/>
      <c r="B106" s="156">
        <v>86</v>
      </c>
      <c r="C106" s="240" t="str">
        <f t="shared" si="2"/>
        <v/>
      </c>
      <c r="D106" s="168" t="s">
        <v>163</v>
      </c>
      <c r="E106" s="470"/>
      <c r="F106" s="471"/>
      <c r="G106" s="364"/>
      <c r="H106" s="19"/>
      <c r="I106" s="19"/>
      <c r="J106" s="19"/>
      <c r="K106" s="19"/>
      <c r="L106" s="19"/>
      <c r="M106" s="19"/>
    </row>
    <row r="107" spans="1:13" x14ac:dyDescent="0.25">
      <c r="A107" s="19"/>
      <c r="B107" s="156">
        <v>87</v>
      </c>
      <c r="C107" s="240" t="str">
        <f t="shared" si="2"/>
        <v/>
      </c>
      <c r="D107" s="168" t="s">
        <v>163</v>
      </c>
      <c r="E107" s="470"/>
      <c r="F107" s="471"/>
      <c r="G107" s="364"/>
      <c r="H107" s="19"/>
      <c r="I107" s="19"/>
      <c r="J107" s="19"/>
      <c r="K107" s="19"/>
      <c r="L107" s="19"/>
      <c r="M107" s="19"/>
    </row>
    <row r="108" spans="1:13" x14ac:dyDescent="0.25">
      <c r="A108" s="19"/>
      <c r="B108" s="156">
        <v>88</v>
      </c>
      <c r="C108" s="240" t="str">
        <f t="shared" si="2"/>
        <v/>
      </c>
      <c r="D108" s="168" t="s">
        <v>163</v>
      </c>
      <c r="E108" s="470"/>
      <c r="F108" s="471"/>
      <c r="G108" s="364"/>
      <c r="H108" s="19"/>
      <c r="I108" s="19"/>
      <c r="J108" s="19"/>
      <c r="K108" s="19"/>
      <c r="L108" s="19"/>
      <c r="M108" s="19"/>
    </row>
    <row r="109" spans="1:13" x14ac:dyDescent="0.25">
      <c r="A109" s="19"/>
      <c r="B109" s="156">
        <v>89</v>
      </c>
      <c r="C109" s="240" t="str">
        <f t="shared" si="2"/>
        <v/>
      </c>
      <c r="D109" s="168" t="s">
        <v>163</v>
      </c>
      <c r="E109" s="470"/>
      <c r="F109" s="471"/>
      <c r="G109" s="364"/>
      <c r="H109" s="19"/>
      <c r="I109" s="19"/>
      <c r="J109" s="19"/>
      <c r="K109" s="19"/>
      <c r="L109" s="19"/>
      <c r="M109" s="19"/>
    </row>
    <row r="110" spans="1:13" x14ac:dyDescent="0.25">
      <c r="A110" s="19"/>
      <c r="B110" s="156">
        <v>90</v>
      </c>
      <c r="C110" s="240" t="str">
        <f t="shared" si="2"/>
        <v/>
      </c>
      <c r="D110" s="168" t="s">
        <v>163</v>
      </c>
      <c r="E110" s="470"/>
      <c r="F110" s="471"/>
      <c r="G110" s="364"/>
      <c r="H110" s="19"/>
      <c r="I110" s="19"/>
      <c r="J110" s="19"/>
      <c r="K110" s="19"/>
      <c r="L110" s="19"/>
      <c r="M110" s="19"/>
    </row>
    <row r="111" spans="1:13" x14ac:dyDescent="0.25">
      <c r="A111" s="19"/>
      <c r="B111" s="156">
        <v>91</v>
      </c>
      <c r="C111" s="240" t="str">
        <f t="shared" si="2"/>
        <v/>
      </c>
      <c r="D111" s="168" t="s">
        <v>163</v>
      </c>
      <c r="E111" s="470"/>
      <c r="F111" s="471"/>
      <c r="G111" s="364"/>
      <c r="H111" s="19"/>
      <c r="I111" s="19"/>
      <c r="J111" s="19"/>
      <c r="K111" s="19"/>
      <c r="L111" s="19"/>
      <c r="M111" s="19"/>
    </row>
    <row r="112" spans="1:13" x14ac:dyDescent="0.25">
      <c r="A112" s="19"/>
      <c r="B112" s="156">
        <v>92</v>
      </c>
      <c r="C112" s="240" t="str">
        <f t="shared" si="2"/>
        <v/>
      </c>
      <c r="D112" s="168" t="s">
        <v>163</v>
      </c>
      <c r="E112" s="470"/>
      <c r="F112" s="471"/>
      <c r="G112" s="364"/>
      <c r="H112" s="19"/>
      <c r="I112" s="19"/>
      <c r="J112" s="19"/>
      <c r="K112" s="19"/>
      <c r="L112" s="19"/>
      <c r="M112" s="19"/>
    </row>
    <row r="113" spans="1:13" x14ac:dyDescent="0.25">
      <c r="A113" s="19"/>
      <c r="B113" s="156">
        <v>93</v>
      </c>
      <c r="C113" s="240" t="str">
        <f t="shared" si="2"/>
        <v/>
      </c>
      <c r="D113" s="168" t="s">
        <v>163</v>
      </c>
      <c r="E113" s="470"/>
      <c r="F113" s="471"/>
      <c r="G113" s="364"/>
      <c r="H113" s="19"/>
      <c r="I113" s="19"/>
      <c r="J113" s="19"/>
      <c r="K113" s="19"/>
      <c r="L113" s="19"/>
      <c r="M113" s="19"/>
    </row>
    <row r="114" spans="1:13" x14ac:dyDescent="0.25">
      <c r="A114" s="19"/>
      <c r="B114" s="156">
        <v>94</v>
      </c>
      <c r="C114" s="240" t="str">
        <f t="shared" si="2"/>
        <v/>
      </c>
      <c r="D114" s="168" t="s">
        <v>163</v>
      </c>
      <c r="E114" s="470"/>
      <c r="F114" s="471"/>
      <c r="G114" s="364"/>
      <c r="H114" s="19"/>
      <c r="I114" s="19"/>
      <c r="J114" s="19"/>
      <c r="K114" s="19"/>
      <c r="L114" s="19"/>
      <c r="M114" s="19"/>
    </row>
    <row r="115" spans="1:13" x14ac:dyDescent="0.25">
      <c r="A115" s="19"/>
      <c r="B115" s="156">
        <v>95</v>
      </c>
      <c r="C115" s="240" t="str">
        <f t="shared" si="2"/>
        <v/>
      </c>
      <c r="D115" s="168" t="s">
        <v>163</v>
      </c>
      <c r="E115" s="470"/>
      <c r="F115" s="471"/>
      <c r="G115" s="364"/>
      <c r="H115" s="19"/>
      <c r="I115" s="19"/>
      <c r="J115" s="19"/>
      <c r="K115" s="19"/>
      <c r="L115" s="19"/>
      <c r="M115" s="19"/>
    </row>
    <row r="116" spans="1:13" x14ac:dyDescent="0.25">
      <c r="A116" s="19"/>
      <c r="B116" s="156">
        <v>96</v>
      </c>
      <c r="C116" s="240" t="str">
        <f t="shared" si="2"/>
        <v/>
      </c>
      <c r="D116" s="168" t="s">
        <v>163</v>
      </c>
      <c r="E116" s="470"/>
      <c r="F116" s="471"/>
      <c r="G116" s="364"/>
      <c r="H116" s="19"/>
      <c r="I116" s="19"/>
      <c r="J116" s="19"/>
      <c r="K116" s="19"/>
      <c r="L116" s="19"/>
      <c r="M116" s="19"/>
    </row>
    <row r="117" spans="1:13" x14ac:dyDescent="0.25">
      <c r="A117" s="19"/>
      <c r="B117" s="156">
        <v>97</v>
      </c>
      <c r="C117" s="240" t="str">
        <f t="shared" si="2"/>
        <v/>
      </c>
      <c r="D117" s="168" t="s">
        <v>163</v>
      </c>
      <c r="E117" s="470"/>
      <c r="F117" s="471"/>
      <c r="G117" s="364"/>
      <c r="H117" s="19"/>
      <c r="I117" s="19"/>
      <c r="J117" s="19"/>
      <c r="K117" s="19"/>
      <c r="L117" s="19"/>
      <c r="M117" s="19"/>
    </row>
    <row r="118" spans="1:13" x14ac:dyDescent="0.25">
      <c r="A118" s="19"/>
      <c r="B118" s="156">
        <v>98</v>
      </c>
      <c r="C118" s="240" t="str">
        <f t="shared" si="2"/>
        <v/>
      </c>
      <c r="D118" s="168" t="s">
        <v>163</v>
      </c>
      <c r="E118" s="470"/>
      <c r="F118" s="471"/>
      <c r="G118" s="364"/>
      <c r="H118" s="19"/>
      <c r="I118" s="19"/>
      <c r="J118" s="19"/>
      <c r="K118" s="19"/>
      <c r="L118" s="19"/>
      <c r="M118" s="19"/>
    </row>
    <row r="119" spans="1:13" x14ac:dyDescent="0.25">
      <c r="A119" s="19"/>
      <c r="B119" s="156">
        <v>99</v>
      </c>
      <c r="C119" s="240" t="str">
        <f t="shared" si="2"/>
        <v/>
      </c>
      <c r="D119" s="168" t="s">
        <v>163</v>
      </c>
      <c r="E119" s="470"/>
      <c r="F119" s="471"/>
      <c r="G119" s="364"/>
      <c r="H119" s="19"/>
      <c r="I119" s="19"/>
      <c r="J119" s="19"/>
      <c r="K119" s="19"/>
      <c r="L119" s="19"/>
      <c r="M119" s="19"/>
    </row>
    <row r="120" spans="1:13" x14ac:dyDescent="0.25">
      <c r="A120" s="19"/>
      <c r="B120" s="156">
        <v>100</v>
      </c>
      <c r="C120" s="240" t="str">
        <f t="shared" si="2"/>
        <v/>
      </c>
      <c r="D120" s="168" t="s">
        <v>163</v>
      </c>
      <c r="E120" s="470"/>
      <c r="F120" s="471"/>
      <c r="G120" s="364"/>
      <c r="H120" s="19"/>
      <c r="I120" s="19"/>
      <c r="J120" s="19"/>
      <c r="K120" s="19"/>
      <c r="L120" s="19"/>
      <c r="M120" s="19"/>
    </row>
  </sheetData>
  <sheetProtection algorithmName="SHA-512" hashValue="d8MaWC2WdcSbPLchu3Zt0hqsFvYDLNmTPs6OqxOpjmJSL/I84faRQ7S17sW0CHzxuyAQbca9KhF7BYbgRhH2CQ==" saltValue="GKFkiYLg5lrzaECxhTZsag==" spinCount="100000" sheet="1" objects="1" scenarios="1" selectLockedCells="1"/>
  <customSheetViews>
    <customSheetView guid="{E7E6A24F-BA49-4C7A-9CED-3AB8F60308A1}" scale="85" showGridLines="0" printArea="1" topLeftCell="A64">
      <selection activeCell="F81" sqref="F81"/>
      <rowBreaks count="2" manualBreakCount="2">
        <brk id="44" min="1" max="6" man="1"/>
        <brk id="79" min="1" max="6" man="1"/>
      </rowBreaks>
      <pageMargins left="0.25" right="0.25" top="0.75" bottom="0.75" header="0.3" footer="0.3"/>
      <pageSetup paperSize="5" scale="74" orientation="landscape" r:id="rId1"/>
      <headerFooter>
        <oddFooter>&amp;C&amp;"Arial,Regular"&amp;12Page &amp;P of &amp;N</oddFooter>
      </headerFooter>
    </customSheetView>
    <customSheetView guid="{7E50CCF5-45D0-4F7B-8896-9BA64DCA8A01}" scale="85" showGridLines="0" topLeftCell="A67">
      <selection activeCell="C85" sqref="C85"/>
      <rowBreaks count="2" manualBreakCount="2">
        <brk id="44" min="1" max="6" man="1"/>
        <brk id="79" min="1" max="6" man="1"/>
      </rowBreaks>
      <pageMargins left="0.25" right="0.25" top="0.75" bottom="0.75" header="0.3" footer="0.3"/>
      <pageSetup paperSize="5" scale="74" orientation="landscape" r:id="rId2"/>
      <headerFooter>
        <oddFooter>&amp;C&amp;"Arial,Regular"&amp;12Page &amp;P of &amp;N</oddFooter>
      </headerFooter>
    </customSheetView>
    <customSheetView guid="{D8D3A042-2CA2-4641-BB44-BC182917D730}" scale="85" showGridLines="0" printArea="1">
      <selection activeCell="C85" sqref="C85"/>
      <rowBreaks count="2" manualBreakCount="2">
        <brk id="44" min="1" max="6" man="1"/>
        <brk id="79" min="1" max="6" man="1"/>
      </rowBreaks>
      <pageMargins left="0.25" right="0.25" top="0.75" bottom="0.75" header="0.3" footer="0.3"/>
      <pageSetup paperSize="5" scale="74" orientation="landscape" r:id="rId3"/>
      <headerFooter>
        <oddFooter>&amp;C&amp;"Arial,Regular"&amp;12Page &amp;P of &amp;N</oddFooter>
      </headerFooter>
    </customSheetView>
  </customSheetViews>
  <dataValidations count="5">
    <dataValidation type="list" allowBlank="1" showInputMessage="1" showErrorMessage="1" prompt="Select Account from drop down list. " sqref="D15:D84" xr:uid="{00000000-0002-0000-0F00-000000000000}">
      <formula1>"CSS, PEI, INN, WET, CFTN"</formula1>
    </dataValidation>
    <dataValidation type="list" allowBlank="1" showInputMessage="1" showErrorMessage="1" prompt="Select Adjustment Type from drop down list. " sqref="E15:E84" xr:uid="{00000000-0002-0000-0F00-000001000000}">
      <formula1>"Expenditure, Interest Revenue"</formula1>
    </dataValidation>
    <dataValidation allowBlank="1" showInputMessage="1" showErrorMessage="1" prompt="Type in the Fiscal Year for this adjustment. " sqref="E91:E120 F15:F84" xr:uid="{00000000-0002-0000-0F00-000002000000}"/>
    <dataValidation allowBlank="1" showInputMessage="1" showErrorMessage="1" prompt="Type in the amount of adjustment. " sqref="F91:F120 G15:G84" xr:uid="{00000000-0002-0000-0F00-000003000000}"/>
    <dataValidation allowBlank="1" showInputMessage="1" showErrorMessage="1" prompt="Type in the reason for the adjustment. " sqref="G91:G120 H15:H84" xr:uid="{00000000-0002-0000-0F00-000004000000}"/>
  </dataValidations>
  <pageMargins left="0.25" right="0.25" top="0.75" bottom="0.75" header="0.3" footer="0.3"/>
  <pageSetup paperSize="5" scale="74" orientation="landscape" r:id="rId4"/>
  <headerFooter>
    <oddFooter>&amp;C&amp;"Arial,Regular"&amp;12Page &amp;P of &amp;N</oddFooter>
  </headerFooter>
  <rowBreaks count="2" manualBreakCount="2">
    <brk id="84" min="1" max="6" man="1"/>
    <brk id="85" min="1" max="6"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30"/>
  <sheetViews>
    <sheetView workbookViewId="0">
      <selection activeCell="A12" sqref="A12"/>
    </sheetView>
  </sheetViews>
  <sheetFormatPr defaultColWidth="0" defaultRowHeight="14.4" zeroHeight="1" x14ac:dyDescent="0.3"/>
  <cols>
    <col min="1" max="1" width="128.33203125" style="174" customWidth="1"/>
    <col min="2" max="2" width="9.109375" style="174" hidden="1" customWidth="1"/>
    <col min="3" max="16384" width="9.109375" style="174" hidden="1"/>
  </cols>
  <sheetData>
    <row r="1" spans="1:1" ht="15.75" customHeight="1" x14ac:dyDescent="0.3">
      <c r="A1" s="211" t="s">
        <v>596</v>
      </c>
    </row>
    <row r="2" spans="1:1" ht="15.6" x14ac:dyDescent="0.3">
      <c r="A2" s="172" t="s">
        <v>305</v>
      </c>
    </row>
    <row r="3" spans="1:1" ht="15.6" x14ac:dyDescent="0.3">
      <c r="A3" s="172" t="s">
        <v>304</v>
      </c>
    </row>
    <row r="4" spans="1:1" ht="45.6" x14ac:dyDescent="0.3">
      <c r="A4" s="172" t="s">
        <v>543</v>
      </c>
    </row>
    <row r="5" spans="1:1" ht="30.6" x14ac:dyDescent="0.3">
      <c r="A5" s="172" t="s">
        <v>544</v>
      </c>
    </row>
    <row r="6" spans="1:1" ht="15.6" x14ac:dyDescent="0.3">
      <c r="A6" s="172" t="s">
        <v>545</v>
      </c>
    </row>
    <row r="7" spans="1:1" ht="15.6" x14ac:dyDescent="0.3">
      <c r="A7" s="172" t="s">
        <v>546</v>
      </c>
    </row>
    <row r="8" spans="1:1" ht="30.6" x14ac:dyDescent="0.3">
      <c r="A8" s="172" t="s">
        <v>547</v>
      </c>
    </row>
    <row r="9" spans="1:1" ht="15.6" x14ac:dyDescent="0.3">
      <c r="A9" s="172" t="s">
        <v>548</v>
      </c>
    </row>
    <row r="10" spans="1:1" ht="15.6" x14ac:dyDescent="0.3">
      <c r="A10" s="172" t="s">
        <v>549</v>
      </c>
    </row>
    <row r="11" spans="1:1" ht="15.6" x14ac:dyDescent="0.3">
      <c r="A11" s="172" t="s">
        <v>550</v>
      </c>
    </row>
    <row r="12" spans="1:1" ht="30.6" x14ac:dyDescent="0.3">
      <c r="A12" s="172" t="s">
        <v>551</v>
      </c>
    </row>
    <row r="13" spans="1:1" ht="15.6" x14ac:dyDescent="0.3">
      <c r="A13" s="172" t="s">
        <v>552</v>
      </c>
    </row>
    <row r="14" spans="1:1" ht="15.6" hidden="1" x14ac:dyDescent="0.3">
      <c r="A14" s="172"/>
    </row>
    <row r="15" spans="1:1" ht="15.6" hidden="1" x14ac:dyDescent="0.3">
      <c r="A15" s="172"/>
    </row>
    <row r="16" spans="1:1" ht="15.6" hidden="1" x14ac:dyDescent="0.3">
      <c r="A16" s="173"/>
    </row>
    <row r="17" spans="1:1" ht="15.6" hidden="1" x14ac:dyDescent="0.3">
      <c r="A17" s="227"/>
    </row>
    <row r="18" spans="1:1" ht="15.6" hidden="1" x14ac:dyDescent="0.3">
      <c r="A18" s="172"/>
    </row>
    <row r="19" spans="1:1" ht="15.6" hidden="1" x14ac:dyDescent="0.3">
      <c r="A19" s="172"/>
    </row>
    <row r="20" spans="1:1" ht="15.6" hidden="1" x14ac:dyDescent="0.3">
      <c r="A20" s="172"/>
    </row>
    <row r="21" spans="1:1" ht="15.6" hidden="1" x14ac:dyDescent="0.3">
      <c r="A21" s="172"/>
    </row>
    <row r="22" spans="1:1" ht="15.6" hidden="1" x14ac:dyDescent="0.3">
      <c r="A22" s="172"/>
    </row>
    <row r="23" spans="1:1" ht="15.6" hidden="1" x14ac:dyDescent="0.3">
      <c r="A23" s="173"/>
    </row>
    <row r="24" spans="1:1" ht="15.6" hidden="1" x14ac:dyDescent="0.3">
      <c r="A24" s="227"/>
    </row>
    <row r="25" spans="1:1" ht="15.6" hidden="1" x14ac:dyDescent="0.3">
      <c r="A25" s="172"/>
    </row>
    <row r="26" spans="1:1" ht="15.6" hidden="1" x14ac:dyDescent="0.3">
      <c r="A26" s="172"/>
    </row>
    <row r="27" spans="1:1" ht="15.6" hidden="1" x14ac:dyDescent="0.3">
      <c r="A27" s="172"/>
    </row>
    <row r="28" spans="1:1" ht="15.6" hidden="1" x14ac:dyDescent="0.3">
      <c r="A28" s="172"/>
    </row>
    <row r="29" spans="1:1" ht="15.6" hidden="1" x14ac:dyDescent="0.3">
      <c r="A29" s="172"/>
    </row>
    <row r="30" spans="1:1" ht="15.6" hidden="1" x14ac:dyDescent="0.3">
      <c r="A30" s="173"/>
    </row>
  </sheetData>
  <sheetProtection algorithmName="SHA-512" hashValue="w+eEOXHFdlEr3a4tuXtI00SPM5Vg50F4sQIfTST6/w0XgPpIX1Zj8wfzGQM7X0cW7bVNZUsBwQTRbihbqzW7Gg==" saltValue="A9y1BZO39ZrhJyIZn0QtVQ==" spinCount="100000" sheet="1" objects="1" scenarios="1" selectLockedCells="1"/>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pageSetUpPr autoPageBreaks="0"/>
  </sheetPr>
  <dimension ref="A1:N54"/>
  <sheetViews>
    <sheetView showGridLines="0" zoomScale="77" zoomScaleNormal="100" workbookViewId="0">
      <selection activeCell="E15" sqref="E15"/>
    </sheetView>
  </sheetViews>
  <sheetFormatPr defaultColWidth="0" defaultRowHeight="15" zeroHeight="1" x14ac:dyDescent="0.25"/>
  <cols>
    <col min="1" max="1" width="2.6640625" style="264" customWidth="1"/>
    <col min="2" max="2" width="6.6640625" style="264" customWidth="1"/>
    <col min="3" max="3" width="9.44140625" style="264" customWidth="1"/>
    <col min="4" max="4" width="17.5546875" style="264" customWidth="1"/>
    <col min="5" max="5" width="15.44140625" style="264" bestFit="1" customWidth="1"/>
    <col min="6" max="6" width="15" style="264" bestFit="1" customWidth="1"/>
    <col min="7" max="7" width="30.5546875" style="264" customWidth="1"/>
    <col min="8" max="8" width="18.33203125" style="264" customWidth="1"/>
    <col min="9" max="9" width="19.88671875" style="264" bestFit="1" customWidth="1"/>
    <col min="10" max="14" width="11.6640625" style="264" hidden="1" customWidth="1"/>
    <col min="15" max="16384" width="21.109375" style="264" hidden="1"/>
  </cols>
  <sheetData>
    <row r="1" spans="1:14" s="205" customFormat="1" x14ac:dyDescent="0.25">
      <c r="A1" s="262" t="s">
        <v>752</v>
      </c>
      <c r="B1" s="263" t="s">
        <v>270</v>
      </c>
      <c r="C1" s="19"/>
      <c r="D1" s="19"/>
      <c r="E1" s="121"/>
      <c r="F1" s="17"/>
      <c r="G1" s="17"/>
      <c r="H1" s="17"/>
      <c r="I1" s="280" t="s">
        <v>268</v>
      </c>
      <c r="J1" s="19"/>
      <c r="K1" s="17"/>
      <c r="L1" s="17"/>
      <c r="M1" s="17"/>
      <c r="N1" s="17"/>
    </row>
    <row r="2" spans="1:14" s="205" customFormat="1" ht="15.6" thickBot="1" x14ac:dyDescent="0.3">
      <c r="A2" s="17"/>
      <c r="B2" s="266" t="s">
        <v>269</v>
      </c>
      <c r="C2" s="127"/>
      <c r="D2" s="127"/>
      <c r="E2" s="128"/>
      <c r="F2" s="127"/>
      <c r="G2" s="127"/>
      <c r="H2" s="127"/>
      <c r="I2" s="128"/>
      <c r="J2" s="19"/>
      <c r="K2" s="17"/>
      <c r="L2" s="17"/>
      <c r="M2" s="17"/>
      <c r="N2" s="17"/>
    </row>
    <row r="3" spans="1:14" x14ac:dyDescent="0.25">
      <c r="A3" s="19"/>
      <c r="B3" s="8"/>
      <c r="C3" s="8"/>
      <c r="D3" s="8"/>
      <c r="E3" s="19"/>
      <c r="F3" s="19"/>
      <c r="G3" s="19"/>
      <c r="H3" s="19"/>
      <c r="I3" s="19"/>
      <c r="J3" s="19"/>
      <c r="K3" s="19"/>
      <c r="L3" s="19"/>
      <c r="M3" s="19"/>
      <c r="N3" s="19"/>
    </row>
    <row r="4" spans="1:14" s="269" customFormat="1" x14ac:dyDescent="0.25">
      <c r="A4" s="99"/>
      <c r="B4" s="270" t="s">
        <v>788</v>
      </c>
      <c r="C4" s="99"/>
      <c r="D4" s="99"/>
      <c r="E4" s="99"/>
      <c r="F4" s="99"/>
      <c r="G4" s="99"/>
      <c r="H4" s="99"/>
      <c r="I4" s="99"/>
      <c r="J4" s="99"/>
      <c r="K4" s="99"/>
      <c r="L4" s="99"/>
      <c r="M4" s="99"/>
      <c r="N4" s="99"/>
    </row>
    <row r="5" spans="1:14" ht="17.399999999999999" x14ac:dyDescent="0.25">
      <c r="A5" s="19"/>
      <c r="B5" s="368" t="str">
        <f>'1. Information'!B5</f>
        <v>Annual Mental Health Services Act (MHSA) Revenue and Expenditure Report</v>
      </c>
      <c r="C5" s="9"/>
      <c r="D5" s="9"/>
      <c r="E5" s="9"/>
      <c r="F5" s="9"/>
      <c r="G5" s="9"/>
      <c r="H5" s="9"/>
      <c r="I5" s="19"/>
      <c r="J5" s="19"/>
      <c r="K5" s="19"/>
      <c r="L5" s="19"/>
      <c r="M5" s="19"/>
      <c r="N5" s="19"/>
    </row>
    <row r="6" spans="1:14" ht="17.399999999999999" x14ac:dyDescent="0.25">
      <c r="A6" s="19"/>
      <c r="B6" s="368" t="str">
        <f>'1. Information'!B6</f>
        <v>Fiscal Year: 2023-24</v>
      </c>
      <c r="C6" s="9"/>
      <c r="D6" s="9"/>
      <c r="E6" s="9"/>
      <c r="F6" s="9"/>
      <c r="G6" s="9"/>
      <c r="H6" s="9"/>
      <c r="I6" s="19"/>
      <c r="J6" s="19"/>
      <c r="K6" s="19"/>
      <c r="L6" s="19"/>
      <c r="M6" s="19"/>
      <c r="N6" s="19"/>
    </row>
    <row r="7" spans="1:14" ht="17.399999999999999" x14ac:dyDescent="0.25">
      <c r="A7" s="19"/>
      <c r="B7" s="473" t="s">
        <v>293</v>
      </c>
      <c r="C7" s="14"/>
      <c r="D7" s="14"/>
      <c r="E7" s="14"/>
      <c r="F7" s="14"/>
      <c r="G7" s="14"/>
      <c r="H7" s="14"/>
      <c r="I7" s="19"/>
      <c r="J7" s="19"/>
      <c r="K7" s="19"/>
      <c r="L7" s="19"/>
      <c r="M7" s="19"/>
      <c r="N7" s="19"/>
    </row>
    <row r="8" spans="1:14" ht="15.6" x14ac:dyDescent="0.25">
      <c r="A8" s="19"/>
      <c r="B8" s="16"/>
      <c r="C8" s="16"/>
      <c r="D8" s="16"/>
      <c r="E8" s="16"/>
      <c r="F8" s="16"/>
      <c r="G8" s="16"/>
      <c r="H8" s="16"/>
      <c r="I8" s="19"/>
      <c r="J8" s="19"/>
      <c r="K8" s="19"/>
      <c r="L8" s="19"/>
      <c r="M8" s="19"/>
      <c r="N8" s="19"/>
    </row>
    <row r="9" spans="1:14" ht="15.6" x14ac:dyDescent="0.3">
      <c r="A9" s="19"/>
      <c r="B9" s="318" t="s">
        <v>0</v>
      </c>
      <c r="C9" s="118"/>
      <c r="D9" s="206" t="str">
        <f>IF(ISBLANK('1. Information'!D11),"",'1. Information'!D11)</f>
        <v>Marin</v>
      </c>
      <c r="E9" s="19"/>
      <c r="F9" s="319" t="s">
        <v>1</v>
      </c>
      <c r="G9" s="451">
        <f>IF(ISBLANK('1. Information'!D9),"",'1. Information'!D9)</f>
        <v>45684</v>
      </c>
      <c r="H9" s="4"/>
      <c r="I9" s="19"/>
      <c r="J9" s="19"/>
      <c r="K9" s="19"/>
      <c r="L9" s="19"/>
      <c r="M9" s="19"/>
      <c r="N9" s="19"/>
    </row>
    <row r="10" spans="1:14" ht="15.6" x14ac:dyDescent="0.3">
      <c r="A10" s="19"/>
      <c r="B10" s="3"/>
      <c r="C10" s="3"/>
      <c r="D10" s="3"/>
      <c r="E10" s="19"/>
      <c r="F10" s="3"/>
      <c r="G10" s="15"/>
      <c r="H10" s="4"/>
      <c r="I10" s="19"/>
      <c r="J10" s="19"/>
      <c r="K10" s="19"/>
      <c r="L10" s="19"/>
      <c r="M10" s="19"/>
      <c r="N10" s="19"/>
    </row>
    <row r="11" spans="1:14" ht="18" thickBot="1" x14ac:dyDescent="0.35">
      <c r="A11" s="19"/>
      <c r="B11" s="474" t="s">
        <v>211</v>
      </c>
      <c r="C11" s="165"/>
      <c r="D11" s="165"/>
      <c r="E11" s="165"/>
      <c r="F11" s="165"/>
      <c r="G11" s="165"/>
      <c r="H11" s="165"/>
      <c r="I11" s="141"/>
      <c r="J11" s="19"/>
      <c r="K11" s="19"/>
      <c r="L11" s="19"/>
      <c r="M11" s="19"/>
      <c r="N11" s="19"/>
    </row>
    <row r="12" spans="1:14" ht="16.2" thickTop="1" x14ac:dyDescent="0.3">
      <c r="A12" s="19"/>
      <c r="B12" s="160"/>
      <c r="C12" s="160"/>
      <c r="D12" s="160"/>
      <c r="E12" s="160"/>
      <c r="F12" s="160"/>
      <c r="G12" s="160"/>
      <c r="H12" s="160"/>
      <c r="I12" s="19"/>
      <c r="J12" s="19"/>
      <c r="K12" s="19"/>
      <c r="L12" s="19"/>
      <c r="M12" s="19"/>
      <c r="N12" s="19"/>
    </row>
    <row r="13" spans="1:14" x14ac:dyDescent="0.25">
      <c r="A13" s="19"/>
      <c r="B13" s="19"/>
      <c r="C13" s="286" t="s">
        <v>22</v>
      </c>
      <c r="D13" s="286" t="s">
        <v>23</v>
      </c>
      <c r="E13" s="286" t="s">
        <v>25</v>
      </c>
      <c r="F13" s="286" t="s">
        <v>199</v>
      </c>
      <c r="G13" s="286" t="s">
        <v>200</v>
      </c>
      <c r="H13" s="286" t="s">
        <v>201</v>
      </c>
      <c r="I13" s="286" t="s">
        <v>210</v>
      </c>
      <c r="J13" s="19"/>
      <c r="K13" s="19"/>
      <c r="L13" s="19"/>
      <c r="M13" s="19"/>
      <c r="N13" s="19"/>
    </row>
    <row r="14" spans="1:14" s="475" customFormat="1" ht="31.2" x14ac:dyDescent="0.3">
      <c r="A14" s="27"/>
      <c r="B14" s="272" t="s">
        <v>117</v>
      </c>
      <c r="C14" s="455" t="s">
        <v>165</v>
      </c>
      <c r="D14" s="395" t="s">
        <v>750</v>
      </c>
      <c r="E14" s="378" t="s">
        <v>154</v>
      </c>
      <c r="F14" s="378" t="s">
        <v>541</v>
      </c>
      <c r="G14" s="378" t="s">
        <v>196</v>
      </c>
      <c r="H14" s="378" t="s">
        <v>197</v>
      </c>
      <c r="I14" s="333" t="s">
        <v>198</v>
      </c>
      <c r="J14" s="27"/>
      <c r="K14" s="27"/>
      <c r="L14" s="27"/>
      <c r="M14" s="27"/>
      <c r="N14" s="27"/>
    </row>
    <row r="15" spans="1:14" x14ac:dyDescent="0.25">
      <c r="A15" s="19"/>
      <c r="B15" s="400">
        <v>1</v>
      </c>
      <c r="C15" s="401">
        <f t="shared" ref="C15:C54" si="0">IF(I15&lt;&gt;0,VLOOKUP($D$9,Info_County_Code,2,FALSE),"")</f>
        <v>21</v>
      </c>
      <c r="D15" s="254" t="s">
        <v>832</v>
      </c>
      <c r="E15" s="199" t="s">
        <v>157</v>
      </c>
      <c r="F15" s="200" t="s">
        <v>26</v>
      </c>
      <c r="G15" s="201">
        <v>6163645.0700000003</v>
      </c>
      <c r="H15" s="201">
        <v>748367.69</v>
      </c>
      <c r="I15" s="476">
        <f>SUM(G15:H15)</f>
        <v>6912012.7599999998</v>
      </c>
      <c r="J15" s="19"/>
      <c r="K15" s="19"/>
      <c r="L15" s="19"/>
      <c r="M15" s="19"/>
      <c r="N15" s="19"/>
    </row>
    <row r="16" spans="1:14" x14ac:dyDescent="0.25">
      <c r="A16" s="19"/>
      <c r="B16" s="156">
        <v>2</v>
      </c>
      <c r="C16" s="240" t="str">
        <f t="shared" si="0"/>
        <v/>
      </c>
      <c r="D16" s="477"/>
      <c r="E16" s="469"/>
      <c r="F16" s="478"/>
      <c r="G16" s="479"/>
      <c r="H16" s="479"/>
      <c r="I16" s="251">
        <f t="shared" ref="I16:I54" si="1">SUM(G16:H16)</f>
        <v>0</v>
      </c>
      <c r="J16" s="19"/>
      <c r="K16" s="19"/>
      <c r="L16" s="19"/>
      <c r="M16" s="19"/>
      <c r="N16" s="19"/>
    </row>
    <row r="17" spans="1:14" x14ac:dyDescent="0.25">
      <c r="A17" s="19"/>
      <c r="B17" s="156">
        <v>3</v>
      </c>
      <c r="C17" s="240" t="str">
        <f t="shared" si="0"/>
        <v/>
      </c>
      <c r="D17" s="480"/>
      <c r="E17" s="469"/>
      <c r="F17" s="478"/>
      <c r="G17" s="479"/>
      <c r="H17" s="479"/>
      <c r="I17" s="251">
        <f t="shared" si="1"/>
        <v>0</v>
      </c>
      <c r="J17" s="19"/>
      <c r="K17" s="19"/>
      <c r="L17" s="19"/>
      <c r="M17" s="19"/>
      <c r="N17" s="19"/>
    </row>
    <row r="18" spans="1:14" x14ac:dyDescent="0.25">
      <c r="A18" s="19"/>
      <c r="B18" s="156">
        <v>4</v>
      </c>
      <c r="C18" s="240" t="str">
        <f t="shared" si="0"/>
        <v/>
      </c>
      <c r="D18" s="480"/>
      <c r="E18" s="469"/>
      <c r="F18" s="478"/>
      <c r="G18" s="479"/>
      <c r="H18" s="479"/>
      <c r="I18" s="251">
        <f>SUM(G18:H18)</f>
        <v>0</v>
      </c>
      <c r="J18" s="19"/>
      <c r="K18" s="19"/>
      <c r="L18" s="19"/>
      <c r="M18" s="19"/>
      <c r="N18" s="19"/>
    </row>
    <row r="19" spans="1:14" x14ac:dyDescent="0.25">
      <c r="A19" s="19"/>
      <c r="B19" s="156">
        <v>5</v>
      </c>
      <c r="C19" s="240" t="str">
        <f t="shared" si="0"/>
        <v/>
      </c>
      <c r="D19" s="480"/>
      <c r="E19" s="469"/>
      <c r="F19" s="478"/>
      <c r="G19" s="479"/>
      <c r="H19" s="479"/>
      <c r="I19" s="251">
        <f t="shared" si="1"/>
        <v>0</v>
      </c>
      <c r="J19" s="19"/>
      <c r="K19" s="19"/>
      <c r="L19" s="19"/>
      <c r="M19" s="19"/>
      <c r="N19" s="19"/>
    </row>
    <row r="20" spans="1:14" x14ac:dyDescent="0.25">
      <c r="A20" s="19"/>
      <c r="B20" s="156">
        <v>6</v>
      </c>
      <c r="C20" s="240" t="str">
        <f t="shared" si="0"/>
        <v/>
      </c>
      <c r="D20" s="480"/>
      <c r="E20" s="469"/>
      <c r="F20" s="478"/>
      <c r="G20" s="479"/>
      <c r="H20" s="479"/>
      <c r="I20" s="251">
        <f t="shared" si="1"/>
        <v>0</v>
      </c>
      <c r="J20" s="19"/>
      <c r="K20" s="19"/>
      <c r="L20" s="19"/>
      <c r="M20" s="19"/>
      <c r="N20" s="19"/>
    </row>
    <row r="21" spans="1:14" x14ac:dyDescent="0.25">
      <c r="A21" s="19"/>
      <c r="B21" s="156">
        <v>7</v>
      </c>
      <c r="C21" s="240" t="str">
        <f t="shared" si="0"/>
        <v/>
      </c>
      <c r="D21" s="480"/>
      <c r="E21" s="469"/>
      <c r="F21" s="478"/>
      <c r="G21" s="479"/>
      <c r="H21" s="479"/>
      <c r="I21" s="251">
        <f t="shared" si="1"/>
        <v>0</v>
      </c>
      <c r="J21" s="19"/>
      <c r="K21" s="19"/>
      <c r="L21" s="19"/>
      <c r="M21" s="19"/>
      <c r="N21" s="19"/>
    </row>
    <row r="22" spans="1:14" x14ac:dyDescent="0.25">
      <c r="A22" s="19"/>
      <c r="B22" s="156">
        <v>8</v>
      </c>
      <c r="C22" s="240" t="str">
        <f t="shared" si="0"/>
        <v/>
      </c>
      <c r="D22" s="480"/>
      <c r="E22" s="469"/>
      <c r="F22" s="478"/>
      <c r="G22" s="479"/>
      <c r="H22" s="479"/>
      <c r="I22" s="251">
        <f t="shared" si="1"/>
        <v>0</v>
      </c>
      <c r="J22" s="19"/>
      <c r="K22" s="19"/>
      <c r="L22" s="19"/>
      <c r="M22" s="19"/>
      <c r="N22" s="19"/>
    </row>
    <row r="23" spans="1:14" x14ac:dyDescent="0.25">
      <c r="A23" s="19"/>
      <c r="B23" s="156">
        <v>9</v>
      </c>
      <c r="C23" s="240" t="str">
        <f t="shared" si="0"/>
        <v/>
      </c>
      <c r="D23" s="480"/>
      <c r="E23" s="469"/>
      <c r="F23" s="478"/>
      <c r="G23" s="479"/>
      <c r="H23" s="479"/>
      <c r="I23" s="251">
        <f t="shared" si="1"/>
        <v>0</v>
      </c>
      <c r="J23" s="19"/>
      <c r="K23" s="19"/>
      <c r="L23" s="19"/>
      <c r="M23" s="19"/>
      <c r="N23" s="19"/>
    </row>
    <row r="24" spans="1:14" x14ac:dyDescent="0.25">
      <c r="A24" s="19"/>
      <c r="B24" s="156">
        <v>10</v>
      </c>
      <c r="C24" s="240" t="str">
        <f t="shared" si="0"/>
        <v/>
      </c>
      <c r="D24" s="480"/>
      <c r="E24" s="469"/>
      <c r="F24" s="478"/>
      <c r="G24" s="479"/>
      <c r="H24" s="479"/>
      <c r="I24" s="251">
        <f t="shared" si="1"/>
        <v>0</v>
      </c>
      <c r="J24" s="19"/>
      <c r="K24" s="19"/>
      <c r="L24" s="19"/>
      <c r="M24" s="19"/>
      <c r="N24" s="19"/>
    </row>
    <row r="25" spans="1:14" x14ac:dyDescent="0.25">
      <c r="A25" s="19"/>
      <c r="B25" s="156">
        <v>11</v>
      </c>
      <c r="C25" s="240" t="str">
        <f t="shared" si="0"/>
        <v/>
      </c>
      <c r="D25" s="480"/>
      <c r="E25" s="469"/>
      <c r="F25" s="478"/>
      <c r="G25" s="479"/>
      <c r="H25" s="479"/>
      <c r="I25" s="251">
        <f t="shared" si="1"/>
        <v>0</v>
      </c>
      <c r="J25" s="19"/>
      <c r="K25" s="19"/>
      <c r="L25" s="19"/>
      <c r="M25" s="19"/>
      <c r="N25" s="19"/>
    </row>
    <row r="26" spans="1:14" x14ac:dyDescent="0.25">
      <c r="A26" s="19"/>
      <c r="B26" s="156">
        <v>12</v>
      </c>
      <c r="C26" s="240" t="str">
        <f t="shared" si="0"/>
        <v/>
      </c>
      <c r="D26" s="480"/>
      <c r="E26" s="469"/>
      <c r="F26" s="478"/>
      <c r="G26" s="479"/>
      <c r="H26" s="479"/>
      <c r="I26" s="251">
        <f t="shared" si="1"/>
        <v>0</v>
      </c>
      <c r="J26" s="19"/>
      <c r="K26" s="19"/>
      <c r="L26" s="19"/>
      <c r="M26" s="19"/>
      <c r="N26" s="19"/>
    </row>
    <row r="27" spans="1:14" x14ac:dyDescent="0.25">
      <c r="A27" s="19"/>
      <c r="B27" s="156">
        <v>13</v>
      </c>
      <c r="C27" s="240" t="str">
        <f t="shared" si="0"/>
        <v/>
      </c>
      <c r="D27" s="480"/>
      <c r="E27" s="469"/>
      <c r="F27" s="478"/>
      <c r="G27" s="479"/>
      <c r="H27" s="479"/>
      <c r="I27" s="251">
        <f t="shared" si="1"/>
        <v>0</v>
      </c>
      <c r="J27" s="19"/>
      <c r="K27" s="19"/>
      <c r="L27" s="19"/>
      <c r="M27" s="19"/>
      <c r="N27" s="19"/>
    </row>
    <row r="28" spans="1:14" x14ac:dyDescent="0.25">
      <c r="A28" s="19"/>
      <c r="B28" s="156">
        <v>14</v>
      </c>
      <c r="C28" s="240" t="str">
        <f t="shared" si="0"/>
        <v/>
      </c>
      <c r="D28" s="480"/>
      <c r="E28" s="469"/>
      <c r="F28" s="478"/>
      <c r="G28" s="479"/>
      <c r="H28" s="479"/>
      <c r="I28" s="251">
        <f t="shared" si="1"/>
        <v>0</v>
      </c>
      <c r="J28" s="19"/>
      <c r="K28" s="19"/>
      <c r="L28" s="19"/>
      <c r="M28" s="19"/>
      <c r="N28" s="19"/>
    </row>
    <row r="29" spans="1:14" x14ac:dyDescent="0.25">
      <c r="A29" s="19"/>
      <c r="B29" s="156">
        <v>15</v>
      </c>
      <c r="C29" s="240" t="str">
        <f t="shared" si="0"/>
        <v/>
      </c>
      <c r="D29" s="480"/>
      <c r="E29" s="469"/>
      <c r="F29" s="478"/>
      <c r="G29" s="479"/>
      <c r="H29" s="479"/>
      <c r="I29" s="251">
        <f t="shared" si="1"/>
        <v>0</v>
      </c>
      <c r="J29" s="19"/>
      <c r="K29" s="19"/>
      <c r="L29" s="19"/>
      <c r="M29" s="19"/>
      <c r="N29" s="19"/>
    </row>
    <row r="30" spans="1:14" x14ac:dyDescent="0.25">
      <c r="A30" s="19"/>
      <c r="B30" s="156">
        <v>16</v>
      </c>
      <c r="C30" s="240" t="str">
        <f t="shared" si="0"/>
        <v/>
      </c>
      <c r="D30" s="480"/>
      <c r="E30" s="469"/>
      <c r="F30" s="478"/>
      <c r="G30" s="479"/>
      <c r="H30" s="479"/>
      <c r="I30" s="251">
        <f t="shared" si="1"/>
        <v>0</v>
      </c>
      <c r="J30" s="19"/>
      <c r="K30" s="88"/>
      <c r="L30" s="19"/>
      <c r="M30" s="19"/>
      <c r="N30" s="19"/>
    </row>
    <row r="31" spans="1:14" x14ac:dyDescent="0.25">
      <c r="A31" s="19"/>
      <c r="B31" s="156">
        <v>17</v>
      </c>
      <c r="C31" s="240" t="str">
        <f t="shared" si="0"/>
        <v/>
      </c>
      <c r="D31" s="480"/>
      <c r="E31" s="469"/>
      <c r="F31" s="478"/>
      <c r="G31" s="479"/>
      <c r="H31" s="479"/>
      <c r="I31" s="251">
        <f t="shared" si="1"/>
        <v>0</v>
      </c>
      <c r="J31" s="19"/>
      <c r="K31" s="19"/>
      <c r="L31" s="19"/>
      <c r="M31" s="19"/>
      <c r="N31" s="19"/>
    </row>
    <row r="32" spans="1:14" x14ac:dyDescent="0.25">
      <c r="A32" s="19"/>
      <c r="B32" s="156">
        <v>18</v>
      </c>
      <c r="C32" s="240" t="str">
        <f t="shared" si="0"/>
        <v/>
      </c>
      <c r="D32" s="480"/>
      <c r="E32" s="469"/>
      <c r="F32" s="478"/>
      <c r="G32" s="479"/>
      <c r="H32" s="479"/>
      <c r="I32" s="251">
        <f t="shared" si="1"/>
        <v>0</v>
      </c>
      <c r="J32" s="19"/>
      <c r="K32" s="19"/>
      <c r="L32" s="19"/>
      <c r="M32" s="19"/>
      <c r="N32" s="19"/>
    </row>
    <row r="33" spans="1:14" x14ac:dyDescent="0.25">
      <c r="A33" s="19"/>
      <c r="B33" s="156">
        <v>19</v>
      </c>
      <c r="C33" s="240" t="str">
        <f t="shared" si="0"/>
        <v/>
      </c>
      <c r="D33" s="480"/>
      <c r="E33" s="469"/>
      <c r="F33" s="478"/>
      <c r="G33" s="479"/>
      <c r="H33" s="479"/>
      <c r="I33" s="251">
        <f t="shared" si="1"/>
        <v>0</v>
      </c>
      <c r="J33" s="19"/>
      <c r="K33" s="19"/>
      <c r="L33" s="19"/>
      <c r="M33" s="19"/>
      <c r="N33" s="19"/>
    </row>
    <row r="34" spans="1:14" x14ac:dyDescent="0.25">
      <c r="A34" s="19"/>
      <c r="B34" s="156">
        <v>20</v>
      </c>
      <c r="C34" s="240" t="str">
        <f t="shared" si="0"/>
        <v/>
      </c>
      <c r="D34" s="480"/>
      <c r="E34" s="469"/>
      <c r="F34" s="478"/>
      <c r="G34" s="479"/>
      <c r="H34" s="479"/>
      <c r="I34" s="251">
        <f t="shared" si="1"/>
        <v>0</v>
      </c>
      <c r="J34" s="19"/>
      <c r="K34" s="19"/>
      <c r="L34" s="19"/>
      <c r="M34" s="19"/>
      <c r="N34" s="19"/>
    </row>
    <row r="35" spans="1:14" x14ac:dyDescent="0.25">
      <c r="A35" s="19"/>
      <c r="B35" s="156">
        <v>21</v>
      </c>
      <c r="C35" s="240" t="str">
        <f t="shared" si="0"/>
        <v/>
      </c>
      <c r="D35" s="480"/>
      <c r="E35" s="469"/>
      <c r="F35" s="478"/>
      <c r="G35" s="479"/>
      <c r="H35" s="479"/>
      <c r="I35" s="251">
        <f t="shared" si="1"/>
        <v>0</v>
      </c>
      <c r="J35" s="19"/>
      <c r="K35" s="19"/>
      <c r="L35" s="19"/>
      <c r="M35" s="19"/>
      <c r="N35" s="19"/>
    </row>
    <row r="36" spans="1:14" x14ac:dyDescent="0.25">
      <c r="A36" s="19"/>
      <c r="B36" s="156">
        <v>22</v>
      </c>
      <c r="C36" s="240" t="str">
        <f t="shared" si="0"/>
        <v/>
      </c>
      <c r="D36" s="480"/>
      <c r="E36" s="469"/>
      <c r="F36" s="478"/>
      <c r="G36" s="479"/>
      <c r="H36" s="479"/>
      <c r="I36" s="251">
        <f t="shared" si="1"/>
        <v>0</v>
      </c>
      <c r="J36" s="19"/>
      <c r="K36" s="19"/>
      <c r="L36" s="19"/>
      <c r="M36" s="19"/>
      <c r="N36" s="19"/>
    </row>
    <row r="37" spans="1:14" x14ac:dyDescent="0.25">
      <c r="A37" s="19"/>
      <c r="B37" s="156">
        <v>23</v>
      </c>
      <c r="C37" s="240" t="str">
        <f t="shared" si="0"/>
        <v/>
      </c>
      <c r="D37" s="480"/>
      <c r="E37" s="469"/>
      <c r="F37" s="478"/>
      <c r="G37" s="479"/>
      <c r="H37" s="479"/>
      <c r="I37" s="251">
        <f t="shared" si="1"/>
        <v>0</v>
      </c>
      <c r="J37" s="19"/>
      <c r="K37" s="19"/>
      <c r="L37" s="19"/>
      <c r="M37" s="19"/>
      <c r="N37" s="19"/>
    </row>
    <row r="38" spans="1:14" x14ac:dyDescent="0.25">
      <c r="A38" s="19"/>
      <c r="B38" s="156">
        <v>24</v>
      </c>
      <c r="C38" s="240" t="str">
        <f t="shared" si="0"/>
        <v/>
      </c>
      <c r="D38" s="480"/>
      <c r="E38" s="469"/>
      <c r="F38" s="478"/>
      <c r="G38" s="479"/>
      <c r="H38" s="479"/>
      <c r="I38" s="251">
        <f t="shared" si="1"/>
        <v>0</v>
      </c>
      <c r="J38" s="19"/>
      <c r="K38" s="19"/>
      <c r="L38" s="19"/>
      <c r="M38" s="19"/>
      <c r="N38" s="19"/>
    </row>
    <row r="39" spans="1:14" x14ac:dyDescent="0.25">
      <c r="A39" s="19"/>
      <c r="B39" s="156">
        <v>25</v>
      </c>
      <c r="C39" s="240" t="str">
        <f t="shared" si="0"/>
        <v/>
      </c>
      <c r="D39" s="480"/>
      <c r="E39" s="469"/>
      <c r="F39" s="478"/>
      <c r="G39" s="479"/>
      <c r="H39" s="479"/>
      <c r="I39" s="251">
        <f t="shared" si="1"/>
        <v>0</v>
      </c>
      <c r="J39" s="19"/>
      <c r="K39" s="19"/>
      <c r="L39" s="19"/>
      <c r="M39" s="19"/>
      <c r="N39" s="19"/>
    </row>
    <row r="40" spans="1:14" x14ac:dyDescent="0.25">
      <c r="A40" s="19"/>
      <c r="B40" s="156">
        <v>26</v>
      </c>
      <c r="C40" s="240" t="str">
        <f t="shared" si="0"/>
        <v/>
      </c>
      <c r="D40" s="480"/>
      <c r="E40" s="469"/>
      <c r="F40" s="478"/>
      <c r="G40" s="479"/>
      <c r="H40" s="479"/>
      <c r="I40" s="251">
        <f t="shared" si="1"/>
        <v>0</v>
      </c>
      <c r="J40" s="19"/>
      <c r="K40" s="19"/>
      <c r="L40" s="19"/>
      <c r="M40" s="19"/>
      <c r="N40" s="19"/>
    </row>
    <row r="41" spans="1:14" x14ac:dyDescent="0.25">
      <c r="A41" s="19"/>
      <c r="B41" s="156">
        <v>27</v>
      </c>
      <c r="C41" s="240" t="str">
        <f t="shared" si="0"/>
        <v/>
      </c>
      <c r="D41" s="480"/>
      <c r="E41" s="469"/>
      <c r="F41" s="478"/>
      <c r="G41" s="479"/>
      <c r="H41" s="479"/>
      <c r="I41" s="251">
        <f t="shared" si="1"/>
        <v>0</v>
      </c>
      <c r="J41" s="19"/>
      <c r="K41" s="19"/>
      <c r="L41" s="19"/>
      <c r="M41" s="19"/>
      <c r="N41" s="19"/>
    </row>
    <row r="42" spans="1:14" x14ac:dyDescent="0.25">
      <c r="A42" s="19"/>
      <c r="B42" s="156">
        <v>28</v>
      </c>
      <c r="C42" s="240" t="str">
        <f t="shared" si="0"/>
        <v/>
      </c>
      <c r="D42" s="480"/>
      <c r="E42" s="469"/>
      <c r="F42" s="478"/>
      <c r="G42" s="479"/>
      <c r="H42" s="479"/>
      <c r="I42" s="251">
        <f t="shared" si="1"/>
        <v>0</v>
      </c>
      <c r="J42" s="19"/>
      <c r="K42" s="19"/>
      <c r="L42" s="19"/>
      <c r="M42" s="19"/>
      <c r="N42" s="19"/>
    </row>
    <row r="43" spans="1:14" x14ac:dyDescent="0.25">
      <c r="A43" s="19"/>
      <c r="B43" s="156">
        <v>29</v>
      </c>
      <c r="C43" s="240" t="str">
        <f t="shared" si="0"/>
        <v/>
      </c>
      <c r="D43" s="480"/>
      <c r="E43" s="469"/>
      <c r="F43" s="478"/>
      <c r="G43" s="479"/>
      <c r="H43" s="479"/>
      <c r="I43" s="251">
        <f t="shared" si="1"/>
        <v>0</v>
      </c>
      <c r="J43" s="19"/>
      <c r="K43" s="19"/>
      <c r="L43" s="19"/>
      <c r="M43" s="19"/>
      <c r="N43" s="19"/>
    </row>
    <row r="44" spans="1:14" x14ac:dyDescent="0.25">
      <c r="A44" s="19"/>
      <c r="B44" s="156">
        <v>30</v>
      </c>
      <c r="C44" s="240" t="str">
        <f t="shared" si="0"/>
        <v/>
      </c>
      <c r="D44" s="480"/>
      <c r="E44" s="469"/>
      <c r="F44" s="478"/>
      <c r="G44" s="479"/>
      <c r="H44" s="479"/>
      <c r="I44" s="251">
        <f t="shared" si="1"/>
        <v>0</v>
      </c>
      <c r="J44" s="19"/>
      <c r="K44" s="19"/>
      <c r="L44" s="19"/>
      <c r="M44" s="19"/>
      <c r="N44" s="19"/>
    </row>
    <row r="45" spans="1:14" x14ac:dyDescent="0.25">
      <c r="A45" s="19"/>
      <c r="B45" s="156">
        <v>31</v>
      </c>
      <c r="C45" s="240" t="str">
        <f t="shared" si="0"/>
        <v/>
      </c>
      <c r="D45" s="480"/>
      <c r="E45" s="469"/>
      <c r="F45" s="478"/>
      <c r="G45" s="479"/>
      <c r="H45" s="479"/>
      <c r="I45" s="251">
        <f t="shared" si="1"/>
        <v>0</v>
      </c>
      <c r="J45" s="19"/>
      <c r="K45" s="19"/>
      <c r="L45" s="19"/>
      <c r="M45" s="19"/>
      <c r="N45" s="19"/>
    </row>
    <row r="46" spans="1:14" x14ac:dyDescent="0.25">
      <c r="A46" s="19"/>
      <c r="B46" s="156">
        <v>32</v>
      </c>
      <c r="C46" s="240" t="str">
        <f t="shared" si="0"/>
        <v/>
      </c>
      <c r="D46" s="480"/>
      <c r="E46" s="469"/>
      <c r="F46" s="478"/>
      <c r="G46" s="479"/>
      <c r="H46" s="479"/>
      <c r="I46" s="251">
        <f t="shared" si="1"/>
        <v>0</v>
      </c>
      <c r="J46" s="19"/>
      <c r="K46" s="19"/>
      <c r="L46" s="19"/>
      <c r="M46" s="19"/>
      <c r="N46" s="19"/>
    </row>
    <row r="47" spans="1:14" x14ac:dyDescent="0.25">
      <c r="A47" s="19"/>
      <c r="B47" s="156">
        <v>33</v>
      </c>
      <c r="C47" s="240" t="str">
        <f t="shared" si="0"/>
        <v/>
      </c>
      <c r="D47" s="480"/>
      <c r="E47" s="469"/>
      <c r="F47" s="478"/>
      <c r="G47" s="479"/>
      <c r="H47" s="479"/>
      <c r="I47" s="251">
        <f t="shared" si="1"/>
        <v>0</v>
      </c>
      <c r="J47" s="19"/>
      <c r="K47" s="19"/>
      <c r="L47" s="19"/>
      <c r="M47" s="19"/>
      <c r="N47" s="19"/>
    </row>
    <row r="48" spans="1:14" x14ac:dyDescent="0.25">
      <c r="A48" s="19"/>
      <c r="B48" s="156">
        <v>34</v>
      </c>
      <c r="C48" s="240" t="str">
        <f t="shared" si="0"/>
        <v/>
      </c>
      <c r="D48" s="480"/>
      <c r="E48" s="469"/>
      <c r="F48" s="478"/>
      <c r="G48" s="479"/>
      <c r="H48" s="479"/>
      <c r="I48" s="251">
        <f t="shared" si="1"/>
        <v>0</v>
      </c>
      <c r="J48" s="19"/>
      <c r="K48" s="19"/>
      <c r="L48" s="19"/>
      <c r="M48" s="19"/>
      <c r="N48" s="19"/>
    </row>
    <row r="49" spans="1:14" x14ac:dyDescent="0.25">
      <c r="A49" s="19"/>
      <c r="B49" s="156">
        <v>35</v>
      </c>
      <c r="C49" s="240" t="str">
        <f t="shared" si="0"/>
        <v/>
      </c>
      <c r="D49" s="480"/>
      <c r="E49" s="469"/>
      <c r="F49" s="478"/>
      <c r="G49" s="479"/>
      <c r="H49" s="479"/>
      <c r="I49" s="251">
        <f t="shared" si="1"/>
        <v>0</v>
      </c>
      <c r="J49" s="19"/>
      <c r="K49" s="19"/>
      <c r="L49" s="19"/>
      <c r="M49" s="19"/>
      <c r="N49" s="19"/>
    </row>
    <row r="50" spans="1:14" x14ac:dyDescent="0.25">
      <c r="A50" s="19"/>
      <c r="B50" s="156">
        <v>36</v>
      </c>
      <c r="C50" s="240" t="str">
        <f t="shared" si="0"/>
        <v/>
      </c>
      <c r="D50" s="480"/>
      <c r="E50" s="469"/>
      <c r="F50" s="478"/>
      <c r="G50" s="479"/>
      <c r="H50" s="479"/>
      <c r="I50" s="251">
        <f t="shared" si="1"/>
        <v>0</v>
      </c>
      <c r="J50" s="19"/>
      <c r="K50" s="19"/>
      <c r="L50" s="19"/>
      <c r="M50" s="19"/>
      <c r="N50" s="19"/>
    </row>
    <row r="51" spans="1:14" x14ac:dyDescent="0.25">
      <c r="A51" s="19"/>
      <c r="B51" s="156">
        <v>37</v>
      </c>
      <c r="C51" s="240" t="str">
        <f t="shared" si="0"/>
        <v/>
      </c>
      <c r="D51" s="480"/>
      <c r="E51" s="469"/>
      <c r="F51" s="478"/>
      <c r="G51" s="479"/>
      <c r="H51" s="479"/>
      <c r="I51" s="251">
        <f t="shared" si="1"/>
        <v>0</v>
      </c>
      <c r="J51" s="19"/>
      <c r="K51" s="19"/>
      <c r="L51" s="19"/>
      <c r="M51" s="19"/>
      <c r="N51" s="19"/>
    </row>
    <row r="52" spans="1:14" x14ac:dyDescent="0.25">
      <c r="A52" s="19"/>
      <c r="B52" s="156">
        <v>38</v>
      </c>
      <c r="C52" s="240" t="str">
        <f t="shared" si="0"/>
        <v/>
      </c>
      <c r="D52" s="480"/>
      <c r="E52" s="469"/>
      <c r="F52" s="478"/>
      <c r="G52" s="479"/>
      <c r="H52" s="479"/>
      <c r="I52" s="251">
        <f t="shared" si="1"/>
        <v>0</v>
      </c>
      <c r="J52" s="19"/>
      <c r="K52" s="19"/>
      <c r="L52" s="19"/>
      <c r="M52" s="19"/>
      <c r="N52" s="19"/>
    </row>
    <row r="53" spans="1:14" x14ac:dyDescent="0.25">
      <c r="A53" s="19"/>
      <c r="B53" s="156">
        <v>39</v>
      </c>
      <c r="C53" s="240" t="str">
        <f t="shared" si="0"/>
        <v/>
      </c>
      <c r="D53" s="480"/>
      <c r="E53" s="469"/>
      <c r="F53" s="478"/>
      <c r="G53" s="479"/>
      <c r="H53" s="479"/>
      <c r="I53" s="251">
        <f t="shared" si="1"/>
        <v>0</v>
      </c>
      <c r="J53" s="19"/>
      <c r="K53" s="19"/>
      <c r="L53" s="19"/>
      <c r="M53" s="19"/>
      <c r="N53" s="19"/>
    </row>
    <row r="54" spans="1:14" x14ac:dyDescent="0.25">
      <c r="A54" s="19"/>
      <c r="B54" s="156">
        <v>40</v>
      </c>
      <c r="C54" s="240" t="str">
        <f t="shared" si="0"/>
        <v/>
      </c>
      <c r="D54" s="480"/>
      <c r="E54" s="469"/>
      <c r="F54" s="478"/>
      <c r="G54" s="479"/>
      <c r="H54" s="479"/>
      <c r="I54" s="251">
        <f t="shared" si="1"/>
        <v>0</v>
      </c>
      <c r="J54" s="19"/>
      <c r="K54" s="19"/>
      <c r="L54" s="19"/>
      <c r="M54" s="19"/>
      <c r="N54" s="19"/>
    </row>
  </sheetData>
  <sheetProtection algorithmName="SHA-512" hashValue="laQzheIzth/NNW0NTZeyreDy98HvSMJ4/8YLp/6oOybNCTA91Dob4JdNrf+darqMau6VcZQikWpQh94uZmoFIw==" saltValue="re7Ag/I9lG9RNndrdSf4JA==" spinCount="100000" sheet="1" objects="1" scenarios="1" selectLockedCells="1"/>
  <customSheetViews>
    <customSheetView guid="{E7E6A24F-BA49-4C7A-9CED-3AB8F60308A1}" scale="85" showGridLines="0" printArea="1">
      <selection activeCell="I14" sqref="I14"/>
      <rowBreaks count="1" manualBreakCount="1">
        <brk id="29" min="1" max="8" man="1"/>
      </rowBreaks>
      <pageMargins left="0.25" right="0.25" top="0.75" bottom="0.75" header="0.3" footer="0.3"/>
      <pageSetup paperSize="5" scale="95" orientation="landscape" r:id="rId1"/>
      <headerFooter>
        <oddFooter>&amp;C&amp;"Arial,Regular"&amp;12Page &amp;P of &amp;N</oddFooter>
      </headerFooter>
    </customSheetView>
    <customSheetView guid="{7E50CCF5-45D0-4F7B-8896-9BA64DCA8A01}" scale="85" showGridLines="0" topLeftCell="A37">
      <selection activeCell="I71" sqref="I71"/>
      <rowBreaks count="1" manualBreakCount="1">
        <brk id="29" min="1" max="8" man="1"/>
      </rowBreaks>
      <pageMargins left="0.25" right="0.25" top="0.75" bottom="0.75" header="0.3" footer="0.3"/>
      <pageSetup paperSize="5" scale="95" orientation="landscape" r:id="rId2"/>
      <headerFooter>
        <oddFooter>&amp;C&amp;"Arial,Regular"&amp;12Page &amp;P of &amp;N</oddFooter>
      </headerFooter>
    </customSheetView>
    <customSheetView guid="{D8D3A042-2CA2-4641-BB44-BC182917D730}" scale="85" showGridLines="0" printArea="1">
      <selection activeCell="I71" sqref="I71"/>
      <rowBreaks count="1" manualBreakCount="1">
        <brk id="29" min="1" max="8" man="1"/>
      </rowBreaks>
      <pageMargins left="0.25" right="0.25" top="0.75" bottom="0.75" header="0.3" footer="0.3"/>
      <pageSetup paperSize="5" scale="95" orientation="landscape" r:id="rId3"/>
      <headerFooter>
        <oddFooter>&amp;C&amp;"Arial,Regular"&amp;12Page &amp;P of &amp;N</oddFooter>
      </headerFooter>
    </customSheetView>
  </customSheetViews>
  <dataValidations count="5">
    <dataValidation allowBlank="1" showInputMessage="1" showErrorMessage="1" prompt="Type in the Fiscal Year for this adjustment. " sqref="D15:D54" xr:uid="{00000000-0002-0000-1100-000000000000}"/>
    <dataValidation type="list" allowBlank="1" showInputMessage="1" showErrorMessage="1" prompt="Select which cost report from the drop down list. " sqref="E15:E54" xr:uid="{00000000-0002-0000-1100-000001000000}">
      <formula1>Cost_Report_Stage</formula1>
    </dataValidation>
    <dataValidation type="list" allowBlank="1" showInputMessage="1" showErrorMessage="1" prompt="Select which account from the drop down list. " sqref="F15:F54" xr:uid="{00000000-0002-0000-1100-000002000000}">
      <formula1>"CSS, PEI, INN, WET, CFTN"</formula1>
    </dataValidation>
    <dataValidation allowBlank="1" showInputMessage="1" showErrorMessage="1" prompt="Type in the beginning balance. " sqref="G15:G54" xr:uid="{00000000-0002-0000-1100-000003000000}"/>
    <dataValidation allowBlank="1" showInputMessage="1" showErrorMessage="1" prompt="Type in the adjustment amount. " sqref="H15:H54" xr:uid="{00000000-0002-0000-1100-000004000000}"/>
  </dataValidations>
  <pageMargins left="0.25" right="0.25" top="0.75" bottom="0.75" header="0.3" footer="0.3"/>
  <pageSetup paperSize="5" scale="95" orientation="landscape" r:id="rId4"/>
  <headerFooter>
    <oddFooter>&amp;C&amp;"Arial,Regular"&amp;12Page &amp;P of &amp;N</oddFooter>
  </headerFooter>
  <rowBreaks count="1" manualBreakCount="1">
    <brk id="29" min="1" max="8"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15"/>
  <sheetViews>
    <sheetView workbookViewId="0">
      <selection activeCell="A10" sqref="A10"/>
    </sheetView>
  </sheetViews>
  <sheetFormatPr defaultColWidth="0" defaultRowHeight="14.4" zeroHeight="1" x14ac:dyDescent="0.3"/>
  <cols>
    <col min="1" max="1" width="128.109375" style="174" customWidth="1"/>
    <col min="2" max="2" width="9.109375" style="174" hidden="1" customWidth="1"/>
    <col min="3" max="16384" width="9.109375" style="174" hidden="1"/>
  </cols>
  <sheetData>
    <row r="1" spans="1:1" ht="13.5" customHeight="1" x14ac:dyDescent="0.3">
      <c r="A1" s="211" t="s">
        <v>596</v>
      </c>
    </row>
    <row r="2" spans="1:1" ht="15.6" x14ac:dyDescent="0.3">
      <c r="A2" s="172" t="s">
        <v>305</v>
      </c>
    </row>
    <row r="3" spans="1:1" ht="15.6" x14ac:dyDescent="0.3">
      <c r="A3" s="172" t="s">
        <v>304</v>
      </c>
    </row>
    <row r="4" spans="1:1" ht="45.6" x14ac:dyDescent="0.3">
      <c r="A4" s="172" t="s">
        <v>553</v>
      </c>
    </row>
    <row r="5" spans="1:1" ht="30.6" x14ac:dyDescent="0.3">
      <c r="A5" s="172" t="s">
        <v>554</v>
      </c>
    </row>
    <row r="6" spans="1:1" ht="90.6" x14ac:dyDescent="0.3">
      <c r="A6" s="172" t="s">
        <v>555</v>
      </c>
    </row>
    <row r="7" spans="1:1" ht="30.6" x14ac:dyDescent="0.3">
      <c r="A7" s="172" t="s">
        <v>556</v>
      </c>
    </row>
    <row r="8" spans="1:1" ht="30.6" x14ac:dyDescent="0.3">
      <c r="A8" s="172" t="s">
        <v>557</v>
      </c>
    </row>
    <row r="9" spans="1:1" ht="30.6" x14ac:dyDescent="0.3">
      <c r="A9" s="172" t="s">
        <v>558</v>
      </c>
    </row>
    <row r="10" spans="1:1" ht="15.6" x14ac:dyDescent="0.3">
      <c r="A10" s="172" t="s">
        <v>594</v>
      </c>
    </row>
    <row r="11" spans="1:1" ht="15.6" hidden="1" x14ac:dyDescent="0.3">
      <c r="A11" s="172"/>
    </row>
    <row r="12" spans="1:1" ht="15.6" hidden="1" x14ac:dyDescent="0.3">
      <c r="A12" s="172"/>
    </row>
    <row r="13" spans="1:1" ht="15.6" hidden="1" x14ac:dyDescent="0.3">
      <c r="A13" s="172"/>
    </row>
    <row r="14" spans="1:1" ht="15.6" hidden="1" x14ac:dyDescent="0.3">
      <c r="A14" s="172"/>
    </row>
    <row r="15" spans="1:1" ht="15.6" hidden="1" x14ac:dyDescent="0.3">
      <c r="A15" s="173"/>
    </row>
  </sheetData>
  <sheetProtection algorithmName="SHA-512" hashValue="EnifwlDikAAPMeaDqq1p8yLlD+glNw8ObehQgepehN4wu9oEKiF+1u6PTPpuJD2gwNqxd4Gk1Kf/7J1svQh/+A==" saltValue="h67M7p0Irk3+UWCPbiT7ZA==" spinCount="100000" sheet="1" objects="1" scenarios="1" selectLockedCells="1"/>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3"/>
  <dimension ref="A1:AD73"/>
  <sheetViews>
    <sheetView showGridLines="0" zoomScaleNormal="100" workbookViewId="0"/>
  </sheetViews>
  <sheetFormatPr defaultColWidth="0" defaultRowHeight="15" zeroHeight="1" x14ac:dyDescent="0.25"/>
  <cols>
    <col min="1" max="1" width="2.6640625" style="205" customWidth="1"/>
    <col min="2" max="2" width="11" style="205" customWidth="1"/>
    <col min="3" max="3" width="22.109375" style="205" customWidth="1"/>
    <col min="4" max="4" width="15.33203125" style="205" bestFit="1" customWidth="1"/>
    <col min="5" max="5" width="72.44140625" style="205" customWidth="1"/>
    <col min="6" max="6" width="19.44140625" style="205" customWidth="1"/>
    <col min="7" max="7" width="15.6640625" style="205" customWidth="1"/>
    <col min="8" max="18" width="9.109375" style="205" hidden="1" customWidth="1"/>
    <col min="19" max="30" width="0" style="205" hidden="1" customWidth="1"/>
    <col min="31" max="16384" width="9.109375" style="205" hidden="1"/>
  </cols>
  <sheetData>
    <row r="1" spans="1:30" x14ac:dyDescent="0.25">
      <c r="A1" s="262" t="s">
        <v>751</v>
      </c>
      <c r="B1" s="263" t="s">
        <v>270</v>
      </c>
      <c r="C1" s="19"/>
      <c r="D1" s="121"/>
      <c r="E1" s="121"/>
      <c r="F1" s="280" t="s">
        <v>268</v>
      </c>
      <c r="G1" s="17"/>
      <c r="H1" s="17"/>
      <c r="I1" s="17"/>
      <c r="J1" s="17"/>
      <c r="K1" s="17"/>
      <c r="L1" s="17"/>
      <c r="M1" s="17"/>
      <c r="N1" s="17"/>
      <c r="O1" s="17"/>
      <c r="P1" s="17"/>
      <c r="Q1" s="17"/>
      <c r="R1" s="17"/>
      <c r="S1" s="17"/>
      <c r="T1" s="17"/>
      <c r="U1" s="17"/>
      <c r="V1" s="17"/>
      <c r="W1" s="17"/>
      <c r="X1" s="17"/>
      <c r="Y1" s="17"/>
      <c r="Z1" s="17"/>
      <c r="AA1" s="17"/>
      <c r="AB1" s="17"/>
      <c r="AC1" s="17"/>
      <c r="AD1" s="17"/>
    </row>
    <row r="2" spans="1:30" ht="15.6" thickBot="1" x14ac:dyDescent="0.3">
      <c r="A2" s="17"/>
      <c r="B2" s="266" t="s">
        <v>269</v>
      </c>
      <c r="C2" s="127"/>
      <c r="D2" s="128"/>
      <c r="E2" s="128"/>
      <c r="F2" s="128"/>
      <c r="G2" s="17"/>
      <c r="H2" s="17"/>
      <c r="I2" s="17"/>
      <c r="J2" s="17"/>
      <c r="K2" s="17"/>
      <c r="L2" s="17"/>
      <c r="M2" s="17"/>
      <c r="N2" s="17"/>
      <c r="O2" s="17"/>
      <c r="P2" s="17"/>
      <c r="Q2" s="17"/>
      <c r="R2" s="17"/>
      <c r="S2" s="17"/>
      <c r="T2" s="17"/>
      <c r="U2" s="17"/>
      <c r="V2" s="17"/>
      <c r="W2" s="17"/>
      <c r="X2" s="17"/>
      <c r="Y2" s="17"/>
      <c r="Z2" s="17"/>
      <c r="AA2" s="17"/>
      <c r="AB2" s="17"/>
      <c r="AC2" s="17"/>
      <c r="AD2" s="17"/>
    </row>
    <row r="3" spans="1:30" x14ac:dyDescent="0.25">
      <c r="A3" s="8"/>
      <c r="B3" s="8"/>
      <c r="C3" s="8"/>
      <c r="D3" s="17"/>
      <c r="E3" s="17"/>
      <c r="F3" s="17"/>
      <c r="G3" s="17"/>
      <c r="H3" s="17"/>
      <c r="I3" s="17"/>
      <c r="J3" s="17"/>
      <c r="K3" s="17"/>
      <c r="L3" s="17"/>
      <c r="M3" s="17"/>
      <c r="N3" s="17"/>
      <c r="O3" s="17"/>
      <c r="P3" s="17"/>
      <c r="Q3" s="17"/>
      <c r="R3" s="17"/>
      <c r="S3" s="17"/>
      <c r="T3" s="17"/>
      <c r="U3" s="17"/>
      <c r="V3" s="17"/>
      <c r="W3" s="17"/>
      <c r="X3" s="17"/>
      <c r="Y3" s="17"/>
      <c r="Z3" s="17"/>
      <c r="AA3" s="17"/>
      <c r="AB3" s="17"/>
      <c r="AC3" s="17"/>
      <c r="AD3" s="17"/>
    </row>
    <row r="4" spans="1:30" s="269" customFormat="1" x14ac:dyDescent="0.25">
      <c r="A4" s="99"/>
      <c r="B4" s="270" t="s">
        <v>789</v>
      </c>
      <c r="C4" s="99"/>
      <c r="D4" s="99"/>
      <c r="E4" s="99"/>
      <c r="F4" s="99"/>
      <c r="G4" s="99"/>
      <c r="H4" s="99"/>
      <c r="I4" s="99"/>
      <c r="J4" s="99"/>
      <c r="K4" s="99"/>
      <c r="L4" s="99"/>
      <c r="M4" s="99"/>
      <c r="N4" s="99"/>
      <c r="O4" s="99"/>
      <c r="P4" s="99"/>
      <c r="Q4" s="99"/>
      <c r="R4" s="99"/>
      <c r="S4" s="99"/>
      <c r="T4" s="99"/>
      <c r="U4" s="99"/>
      <c r="V4" s="99"/>
      <c r="W4" s="99"/>
      <c r="X4" s="99"/>
      <c r="Y4" s="99"/>
      <c r="Z4" s="99"/>
      <c r="AA4" s="99"/>
      <c r="AB4" s="99"/>
      <c r="AC4" s="99"/>
      <c r="AD4" s="99"/>
    </row>
    <row r="5" spans="1:30" s="264" customFormat="1" ht="17.399999999999999" x14ac:dyDescent="0.25">
      <c r="A5" s="19"/>
      <c r="B5" s="368" t="str">
        <f>'1. Information'!B5</f>
        <v>Annual Mental Health Services Act (MHSA) Revenue and Expenditure Report</v>
      </c>
      <c r="C5" s="9"/>
      <c r="D5" s="9"/>
      <c r="E5" s="9"/>
      <c r="F5" s="9"/>
      <c r="G5" s="9"/>
      <c r="H5" s="19"/>
      <c r="I5" s="19"/>
      <c r="J5" s="19"/>
      <c r="K5" s="19"/>
      <c r="L5" s="19"/>
      <c r="M5" s="19"/>
      <c r="N5" s="19"/>
      <c r="O5" s="19"/>
      <c r="P5" s="19"/>
      <c r="Q5" s="19"/>
      <c r="R5" s="19"/>
      <c r="S5" s="19"/>
      <c r="T5" s="19"/>
      <c r="U5" s="19"/>
      <c r="V5" s="19"/>
      <c r="W5" s="19"/>
      <c r="X5" s="19"/>
      <c r="Y5" s="19"/>
      <c r="Z5" s="19"/>
      <c r="AA5" s="19"/>
      <c r="AB5" s="19"/>
      <c r="AC5" s="19"/>
      <c r="AD5" s="19"/>
    </row>
    <row r="6" spans="1:30" s="264" customFormat="1" ht="17.399999999999999" x14ac:dyDescent="0.25">
      <c r="A6" s="19"/>
      <c r="B6" s="368" t="str">
        <f>'1. Information'!B6</f>
        <v>Fiscal Year: 2023-24</v>
      </c>
      <c r="C6" s="9"/>
      <c r="D6" s="9"/>
      <c r="E6" s="9"/>
      <c r="F6" s="9"/>
      <c r="G6" s="9"/>
      <c r="H6" s="19"/>
      <c r="I6" s="19"/>
      <c r="J6" s="19"/>
      <c r="K6" s="19"/>
      <c r="L6" s="19"/>
      <c r="M6" s="19"/>
      <c r="N6" s="19"/>
      <c r="O6" s="19"/>
      <c r="P6" s="19"/>
      <c r="Q6" s="19"/>
      <c r="R6" s="19"/>
      <c r="S6" s="19"/>
      <c r="T6" s="19"/>
      <c r="U6" s="19"/>
      <c r="V6" s="19"/>
      <c r="W6" s="19"/>
      <c r="X6" s="19"/>
      <c r="Y6" s="19"/>
      <c r="Z6" s="19"/>
      <c r="AA6" s="19"/>
      <c r="AB6" s="19"/>
      <c r="AC6" s="19"/>
      <c r="AD6" s="19"/>
    </row>
    <row r="7" spans="1:30" s="264" customFormat="1" ht="17.399999999999999" x14ac:dyDescent="0.25">
      <c r="A7" s="19"/>
      <c r="B7" s="473" t="s">
        <v>294</v>
      </c>
      <c r="C7" s="14"/>
      <c r="D7" s="14"/>
      <c r="E7" s="14"/>
      <c r="F7" s="14"/>
      <c r="G7" s="14"/>
      <c r="H7" s="19"/>
      <c r="I7" s="19"/>
      <c r="J7" s="19"/>
      <c r="K7" s="19"/>
      <c r="L7" s="19"/>
      <c r="M7" s="19"/>
      <c r="N7" s="19"/>
      <c r="O7" s="19"/>
      <c r="P7" s="19"/>
      <c r="Q7" s="19"/>
      <c r="R7" s="19"/>
      <c r="S7" s="19"/>
      <c r="T7" s="19"/>
      <c r="U7" s="19"/>
      <c r="V7" s="19"/>
      <c r="W7" s="19"/>
      <c r="X7" s="19"/>
      <c r="Y7" s="19"/>
      <c r="Z7" s="19"/>
      <c r="AA7" s="19"/>
      <c r="AB7" s="19"/>
      <c r="AC7" s="19"/>
      <c r="AD7" s="19"/>
    </row>
    <row r="8" spans="1:30" s="264" customFormat="1" ht="17.399999999999999" x14ac:dyDescent="0.25">
      <c r="A8" s="19"/>
      <c r="B8" s="91"/>
      <c r="C8" s="14"/>
      <c r="D8" s="14"/>
      <c r="E8" s="14"/>
      <c r="F8" s="14"/>
      <c r="G8" s="14"/>
      <c r="H8" s="19"/>
      <c r="I8" s="19"/>
      <c r="J8" s="19"/>
      <c r="K8" s="19"/>
      <c r="L8" s="19"/>
      <c r="M8" s="19"/>
      <c r="N8" s="19"/>
      <c r="O8" s="19"/>
      <c r="P8" s="19"/>
      <c r="Q8" s="19"/>
      <c r="R8" s="19"/>
      <c r="S8" s="19"/>
      <c r="T8" s="19"/>
      <c r="U8" s="19"/>
      <c r="V8" s="19"/>
      <c r="W8" s="19"/>
      <c r="X8" s="19"/>
      <c r="Y8" s="19"/>
      <c r="Z8" s="19"/>
      <c r="AA8" s="19"/>
      <c r="AB8" s="19"/>
      <c r="AC8" s="100"/>
      <c r="AD8" s="19"/>
    </row>
    <row r="9" spans="1:30" s="264" customFormat="1" ht="15.6" x14ac:dyDescent="0.3">
      <c r="A9" s="19"/>
      <c r="B9" s="318" t="s">
        <v>0</v>
      </c>
      <c r="C9" s="206" t="str">
        <f>IF(ISBLANK('1. Information'!D11),"",'1. Information'!D11)</f>
        <v>Marin</v>
      </c>
      <c r="D9" s="19"/>
      <c r="E9" s="19"/>
      <c r="F9" s="319" t="s">
        <v>1</v>
      </c>
      <c r="G9" s="451">
        <f>IF(ISBLANK('1. Information'!D9),"",'1. Information'!D9)</f>
        <v>45684</v>
      </c>
      <c r="H9" s="19"/>
      <c r="I9" s="4"/>
      <c r="J9" s="19"/>
      <c r="K9" s="19"/>
      <c r="L9" s="19"/>
      <c r="M9" s="19"/>
      <c r="N9" s="19"/>
      <c r="O9" s="19"/>
      <c r="P9" s="19"/>
      <c r="Q9" s="19"/>
      <c r="R9" s="19"/>
      <c r="S9" s="19"/>
      <c r="T9" s="19"/>
      <c r="U9" s="19"/>
      <c r="V9" s="19"/>
      <c r="W9" s="19"/>
      <c r="X9" s="19"/>
      <c r="Y9" s="19"/>
      <c r="Z9" s="19"/>
      <c r="AA9" s="19"/>
      <c r="AB9" s="19"/>
      <c r="AC9" s="19"/>
      <c r="AD9" s="19"/>
    </row>
    <row r="10" spans="1:30" s="264" customFormat="1" ht="17.399999999999999" x14ac:dyDescent="0.25">
      <c r="A10" s="19"/>
      <c r="B10" s="91"/>
      <c r="C10" s="91"/>
      <c r="D10" s="14"/>
      <c r="E10" s="14"/>
      <c r="F10" s="14"/>
      <c r="G10" s="14"/>
      <c r="H10" s="14"/>
      <c r="I10" s="19"/>
      <c r="J10" s="19"/>
      <c r="K10" s="19"/>
      <c r="L10" s="19"/>
      <c r="M10" s="19"/>
      <c r="N10" s="19"/>
      <c r="O10" s="19"/>
      <c r="P10" s="19"/>
      <c r="Q10" s="19"/>
      <c r="R10" s="19"/>
      <c r="S10" s="19"/>
      <c r="T10" s="19"/>
      <c r="U10" s="19"/>
      <c r="V10" s="19"/>
      <c r="W10" s="19"/>
      <c r="X10" s="19"/>
      <c r="Y10" s="19"/>
      <c r="Z10" s="19"/>
      <c r="AA10" s="19"/>
      <c r="AB10" s="19"/>
      <c r="AC10" s="19"/>
      <c r="AD10" s="100"/>
    </row>
    <row r="11" spans="1:30" s="264" customFormat="1" ht="17.399999999999999" x14ac:dyDescent="0.25">
      <c r="A11" s="19"/>
      <c r="B11" s="91"/>
      <c r="C11" s="286" t="s">
        <v>22</v>
      </c>
      <c r="D11" s="286" t="s">
        <v>23</v>
      </c>
      <c r="E11" s="286" t="s">
        <v>25</v>
      </c>
      <c r="F11" s="14"/>
      <c r="G11" s="14"/>
      <c r="H11" s="14"/>
      <c r="I11" s="19"/>
      <c r="J11" s="19"/>
      <c r="K11" s="19"/>
      <c r="L11" s="19"/>
      <c r="M11" s="19"/>
      <c r="N11" s="19"/>
      <c r="O11" s="19"/>
      <c r="P11" s="19"/>
      <c r="Q11" s="19"/>
      <c r="R11" s="19"/>
      <c r="S11" s="19"/>
      <c r="T11" s="19"/>
      <c r="U11" s="19"/>
      <c r="V11" s="19"/>
      <c r="W11" s="19"/>
      <c r="X11" s="19"/>
      <c r="Y11" s="19"/>
      <c r="Z11" s="19"/>
      <c r="AA11" s="19"/>
      <c r="AB11" s="19"/>
      <c r="AC11" s="19"/>
      <c r="AD11" s="100"/>
    </row>
    <row r="12" spans="1:30" ht="31.2" x14ac:dyDescent="0.3">
      <c r="A12" s="17"/>
      <c r="B12" s="330" t="s">
        <v>117</v>
      </c>
      <c r="C12" s="465" t="s">
        <v>541</v>
      </c>
      <c r="D12" s="481" t="s">
        <v>753</v>
      </c>
      <c r="E12" s="465" t="s">
        <v>215</v>
      </c>
      <c r="F12" s="17"/>
      <c r="G12" s="17"/>
      <c r="H12" s="17"/>
      <c r="I12" s="17"/>
      <c r="J12" s="17"/>
      <c r="K12" s="17"/>
      <c r="L12" s="17"/>
      <c r="M12" s="17"/>
      <c r="N12" s="17"/>
      <c r="O12" s="17"/>
      <c r="P12" s="17"/>
      <c r="Q12" s="17"/>
      <c r="R12" s="17"/>
      <c r="S12" s="17"/>
      <c r="T12" s="17"/>
      <c r="U12" s="17"/>
      <c r="V12" s="17"/>
      <c r="W12" s="17"/>
      <c r="X12" s="17"/>
      <c r="Y12" s="17"/>
      <c r="Z12" s="17"/>
      <c r="AA12" s="17"/>
      <c r="AB12" s="17"/>
      <c r="AC12" s="17"/>
      <c r="AD12" s="17"/>
    </row>
    <row r="13" spans="1:30" ht="45" x14ac:dyDescent="0.25">
      <c r="A13" s="17"/>
      <c r="B13" s="482">
        <v>1</v>
      </c>
      <c r="C13" s="198" t="s">
        <v>27</v>
      </c>
      <c r="D13" s="257" t="s">
        <v>857</v>
      </c>
      <c r="E13" s="256" t="s">
        <v>887</v>
      </c>
      <c r="F13" s="17"/>
      <c r="G13" s="17"/>
      <c r="H13" s="17"/>
      <c r="I13" s="17"/>
      <c r="J13" s="17"/>
      <c r="K13" s="17"/>
      <c r="L13" s="17"/>
      <c r="M13" s="17"/>
      <c r="N13" s="17"/>
      <c r="O13" s="17"/>
      <c r="P13" s="17"/>
      <c r="Q13" s="17"/>
      <c r="R13" s="17"/>
      <c r="S13" s="17"/>
      <c r="T13" s="17"/>
      <c r="U13" s="17"/>
      <c r="V13" s="17"/>
      <c r="W13" s="17"/>
      <c r="X13" s="17"/>
      <c r="Y13" s="17"/>
      <c r="Z13" s="17"/>
      <c r="AA13" s="17"/>
      <c r="AB13" s="17"/>
      <c r="AC13" s="17"/>
      <c r="AD13" s="17"/>
    </row>
    <row r="14" spans="1:30" ht="45" x14ac:dyDescent="0.25">
      <c r="A14" s="17"/>
      <c r="B14" s="483">
        <v>2</v>
      </c>
      <c r="C14" s="198" t="s">
        <v>27</v>
      </c>
      <c r="D14" s="257" t="s">
        <v>861</v>
      </c>
      <c r="E14" s="256" t="s">
        <v>887</v>
      </c>
      <c r="F14" s="17"/>
      <c r="G14" s="17"/>
      <c r="H14" s="17"/>
      <c r="I14" s="17"/>
      <c r="J14" s="17"/>
      <c r="K14" s="17"/>
      <c r="L14" s="17"/>
      <c r="M14" s="17"/>
      <c r="N14" s="17"/>
      <c r="O14" s="17"/>
      <c r="P14" s="17"/>
      <c r="Q14" s="17"/>
      <c r="R14" s="17"/>
      <c r="S14" s="17"/>
      <c r="T14" s="17"/>
      <c r="U14" s="17"/>
      <c r="V14" s="17"/>
      <c r="W14" s="17"/>
      <c r="X14" s="17"/>
      <c r="Y14" s="17"/>
      <c r="Z14" s="17"/>
      <c r="AA14" s="17"/>
      <c r="AB14" s="17"/>
      <c r="AC14" s="17"/>
      <c r="AD14" s="17"/>
    </row>
    <row r="15" spans="1:30" x14ac:dyDescent="0.25">
      <c r="A15" s="17"/>
      <c r="B15" s="170">
        <v>3</v>
      </c>
      <c r="C15" s="484"/>
      <c r="D15" s="484"/>
      <c r="E15" s="364"/>
      <c r="F15" s="17"/>
      <c r="G15" s="17"/>
      <c r="H15" s="17"/>
      <c r="I15" s="17"/>
      <c r="J15" s="17"/>
      <c r="K15" s="17"/>
      <c r="L15" s="17"/>
      <c r="M15" s="17"/>
      <c r="N15" s="17"/>
      <c r="O15" s="17"/>
      <c r="P15" s="17"/>
      <c r="Q15" s="17"/>
      <c r="R15" s="17"/>
      <c r="S15" s="17"/>
      <c r="T15" s="17"/>
      <c r="U15" s="17"/>
      <c r="V15" s="17"/>
      <c r="W15" s="17"/>
      <c r="X15" s="17"/>
      <c r="Y15" s="17"/>
      <c r="Z15" s="17"/>
      <c r="AA15" s="17"/>
      <c r="AB15" s="17"/>
      <c r="AC15" s="17"/>
      <c r="AD15" s="17"/>
    </row>
    <row r="16" spans="1:30" x14ac:dyDescent="0.25">
      <c r="A16" s="17"/>
      <c r="B16" s="169">
        <v>4</v>
      </c>
      <c r="C16" s="484"/>
      <c r="D16" s="484"/>
      <c r="E16" s="364"/>
      <c r="F16" s="17"/>
      <c r="G16" s="17"/>
      <c r="H16" s="17"/>
      <c r="I16" s="17"/>
      <c r="J16" s="17"/>
      <c r="K16" s="17"/>
      <c r="L16" s="17"/>
      <c r="M16" s="17"/>
      <c r="N16" s="17"/>
      <c r="O16" s="17"/>
      <c r="P16" s="17"/>
      <c r="Q16" s="17"/>
      <c r="R16" s="17"/>
      <c r="S16" s="17"/>
      <c r="T16" s="17"/>
      <c r="U16" s="17"/>
      <c r="V16" s="17"/>
      <c r="W16" s="17"/>
      <c r="X16" s="17"/>
      <c r="Y16" s="17"/>
      <c r="Z16" s="17"/>
      <c r="AA16" s="17"/>
      <c r="AB16" s="17"/>
      <c r="AC16" s="17"/>
      <c r="AD16" s="17"/>
    </row>
    <row r="17" spans="1:30" x14ac:dyDescent="0.25">
      <c r="A17" s="17"/>
      <c r="B17" s="170">
        <v>5</v>
      </c>
      <c r="C17" s="484"/>
      <c r="D17" s="484"/>
      <c r="E17" s="364"/>
      <c r="F17" s="17"/>
      <c r="G17" s="17"/>
      <c r="H17" s="17"/>
      <c r="I17" s="17"/>
      <c r="J17" s="17"/>
      <c r="K17" s="17"/>
      <c r="L17" s="17"/>
      <c r="M17" s="17"/>
      <c r="N17" s="17"/>
      <c r="O17" s="17"/>
      <c r="P17" s="17"/>
      <c r="Q17" s="17"/>
      <c r="R17" s="17"/>
      <c r="S17" s="17"/>
      <c r="T17" s="17"/>
      <c r="U17" s="17"/>
      <c r="V17" s="17"/>
      <c r="W17" s="17"/>
      <c r="X17" s="17"/>
      <c r="Y17" s="17"/>
      <c r="Z17" s="17"/>
      <c r="AA17" s="17"/>
      <c r="AB17" s="17"/>
      <c r="AC17" s="17"/>
      <c r="AD17" s="17"/>
    </row>
    <row r="18" spans="1:30" x14ac:dyDescent="0.25">
      <c r="A18" s="17"/>
      <c r="B18" s="170">
        <v>6</v>
      </c>
      <c r="C18" s="484"/>
      <c r="D18" s="484"/>
      <c r="E18" s="364"/>
      <c r="F18" s="17"/>
      <c r="G18" s="17"/>
      <c r="H18" s="17"/>
      <c r="I18" s="17"/>
      <c r="J18" s="17"/>
      <c r="K18" s="17"/>
      <c r="L18" s="17"/>
      <c r="M18" s="17"/>
      <c r="N18" s="99"/>
      <c r="O18" s="17"/>
      <c r="P18" s="17"/>
      <c r="Q18" s="17"/>
      <c r="R18" s="17"/>
      <c r="S18" s="17"/>
      <c r="T18" s="17"/>
      <c r="U18" s="17"/>
      <c r="V18" s="17"/>
      <c r="W18" s="17"/>
      <c r="X18" s="17"/>
      <c r="Y18" s="17"/>
      <c r="Z18" s="17"/>
      <c r="AA18" s="17"/>
      <c r="AB18" s="17"/>
      <c r="AC18" s="17"/>
      <c r="AD18" s="17"/>
    </row>
    <row r="19" spans="1:30" x14ac:dyDescent="0.25">
      <c r="A19" s="17"/>
      <c r="B19" s="169">
        <v>7</v>
      </c>
      <c r="C19" s="484"/>
      <c r="D19" s="484"/>
      <c r="E19" s="364"/>
      <c r="F19" s="17"/>
      <c r="G19" s="17"/>
      <c r="H19" s="17"/>
      <c r="I19" s="17"/>
      <c r="J19" s="17"/>
      <c r="K19" s="17"/>
      <c r="L19" s="17"/>
      <c r="M19" s="17"/>
      <c r="N19" s="17"/>
      <c r="O19" s="17"/>
      <c r="P19" s="17"/>
      <c r="Q19" s="17"/>
      <c r="R19" s="17"/>
      <c r="S19" s="17"/>
      <c r="T19" s="17"/>
      <c r="U19" s="17"/>
      <c r="V19" s="17"/>
      <c r="W19" s="17"/>
      <c r="X19" s="17"/>
      <c r="Y19" s="17"/>
      <c r="Z19" s="17"/>
      <c r="AA19" s="17"/>
      <c r="AB19" s="17"/>
      <c r="AC19" s="17"/>
      <c r="AD19" s="17"/>
    </row>
    <row r="20" spans="1:30" x14ac:dyDescent="0.25">
      <c r="A20" s="17"/>
      <c r="B20" s="170">
        <v>8</v>
      </c>
      <c r="C20" s="484"/>
      <c r="D20" s="484"/>
      <c r="E20" s="364"/>
      <c r="F20" s="17"/>
      <c r="G20" s="17"/>
      <c r="H20" s="17"/>
      <c r="I20" s="17"/>
      <c r="J20" s="17"/>
      <c r="K20" s="17"/>
      <c r="L20" s="17"/>
      <c r="M20" s="17"/>
      <c r="N20" s="17"/>
      <c r="O20" s="17"/>
      <c r="P20" s="17"/>
      <c r="Q20" s="17"/>
      <c r="R20" s="17"/>
      <c r="S20" s="17"/>
      <c r="T20" s="17"/>
      <c r="U20" s="17"/>
      <c r="V20" s="17"/>
      <c r="W20" s="17"/>
      <c r="X20" s="17"/>
      <c r="Y20" s="17"/>
      <c r="Z20" s="17"/>
      <c r="AA20" s="17"/>
      <c r="AB20" s="17"/>
      <c r="AC20" s="17"/>
      <c r="AD20" s="17"/>
    </row>
    <row r="21" spans="1:30" x14ac:dyDescent="0.25">
      <c r="A21" s="17"/>
      <c r="B21" s="170">
        <v>9</v>
      </c>
      <c r="C21" s="484"/>
      <c r="D21" s="484"/>
      <c r="E21" s="364"/>
      <c r="F21" s="17"/>
      <c r="G21" s="17"/>
      <c r="H21" s="17"/>
      <c r="I21" s="17"/>
      <c r="J21" s="17"/>
      <c r="K21" s="17"/>
      <c r="L21" s="17"/>
      <c r="M21" s="17"/>
      <c r="N21" s="17"/>
      <c r="O21" s="17"/>
      <c r="P21" s="17"/>
      <c r="Q21" s="17"/>
      <c r="R21" s="17"/>
      <c r="S21" s="17"/>
      <c r="T21" s="17"/>
      <c r="U21" s="17"/>
      <c r="V21" s="17"/>
      <c r="W21" s="17"/>
      <c r="X21" s="17"/>
      <c r="Y21" s="17"/>
      <c r="Z21" s="17"/>
      <c r="AA21" s="17"/>
      <c r="AB21" s="17"/>
      <c r="AC21" s="17"/>
      <c r="AD21" s="17"/>
    </row>
    <row r="22" spans="1:30" x14ac:dyDescent="0.25">
      <c r="A22" s="17"/>
      <c r="B22" s="169">
        <v>10</v>
      </c>
      <c r="C22" s="484"/>
      <c r="D22" s="484"/>
      <c r="E22" s="364"/>
      <c r="F22" s="17"/>
      <c r="G22" s="17"/>
      <c r="H22" s="17"/>
      <c r="I22" s="17"/>
      <c r="J22" s="17"/>
      <c r="K22" s="17"/>
      <c r="L22" s="17"/>
      <c r="M22" s="17"/>
      <c r="N22" s="17"/>
      <c r="O22" s="17"/>
      <c r="P22" s="17"/>
      <c r="Q22" s="17"/>
      <c r="R22" s="17"/>
      <c r="S22" s="17"/>
      <c r="T22" s="17"/>
      <c r="U22" s="17"/>
      <c r="V22" s="17"/>
      <c r="W22" s="17"/>
      <c r="X22" s="17"/>
      <c r="Y22" s="17"/>
      <c r="Z22" s="17"/>
      <c r="AA22" s="17"/>
      <c r="AB22" s="17"/>
      <c r="AC22" s="17"/>
      <c r="AD22" s="17"/>
    </row>
    <row r="23" spans="1:30" x14ac:dyDescent="0.25">
      <c r="A23" s="17"/>
      <c r="B23" s="170">
        <v>11</v>
      </c>
      <c r="C23" s="484"/>
      <c r="D23" s="484"/>
      <c r="E23" s="364"/>
      <c r="F23" s="17"/>
      <c r="G23" s="17"/>
      <c r="H23" s="17"/>
      <c r="I23" s="17"/>
      <c r="J23" s="17"/>
      <c r="K23" s="17"/>
      <c r="L23" s="17"/>
      <c r="M23" s="17"/>
      <c r="N23" s="17"/>
      <c r="O23" s="17"/>
      <c r="P23" s="17"/>
      <c r="Q23" s="17"/>
      <c r="R23" s="17"/>
      <c r="S23" s="17"/>
      <c r="T23" s="17"/>
      <c r="U23" s="17"/>
      <c r="V23" s="17"/>
      <c r="W23" s="17"/>
      <c r="X23" s="17"/>
      <c r="Y23" s="17"/>
      <c r="Z23" s="17"/>
      <c r="AA23" s="17"/>
      <c r="AB23" s="17"/>
      <c r="AC23" s="17"/>
      <c r="AD23" s="17"/>
    </row>
    <row r="24" spans="1:30" x14ac:dyDescent="0.25">
      <c r="A24" s="17"/>
      <c r="B24" s="170">
        <v>12</v>
      </c>
      <c r="C24" s="484"/>
      <c r="D24" s="484"/>
      <c r="E24" s="364"/>
      <c r="F24" s="17"/>
      <c r="G24" s="17"/>
      <c r="H24" s="17"/>
      <c r="I24" s="17"/>
      <c r="J24" s="17"/>
      <c r="K24" s="17"/>
      <c r="L24" s="17"/>
      <c r="M24" s="17"/>
      <c r="N24" s="17"/>
      <c r="O24" s="17"/>
      <c r="P24" s="17"/>
      <c r="Q24" s="17"/>
      <c r="R24" s="17"/>
      <c r="S24" s="17"/>
      <c r="T24" s="17"/>
      <c r="U24" s="17"/>
      <c r="V24" s="17"/>
      <c r="W24" s="17"/>
      <c r="X24" s="17"/>
      <c r="Y24" s="17"/>
      <c r="Z24" s="17"/>
      <c r="AA24" s="17"/>
      <c r="AB24" s="17"/>
      <c r="AC24" s="17"/>
      <c r="AD24" s="17"/>
    </row>
    <row r="25" spans="1:30" x14ac:dyDescent="0.25">
      <c r="A25" s="17"/>
      <c r="B25" s="169">
        <v>13</v>
      </c>
      <c r="C25" s="484"/>
      <c r="D25" s="484"/>
      <c r="E25" s="364"/>
      <c r="F25" s="17"/>
      <c r="G25" s="17"/>
      <c r="H25" s="17"/>
      <c r="I25" s="17"/>
      <c r="J25" s="17"/>
      <c r="K25" s="17"/>
      <c r="L25" s="17"/>
      <c r="M25" s="17"/>
      <c r="N25" s="17"/>
      <c r="O25" s="17"/>
      <c r="P25" s="17"/>
      <c r="Q25" s="17"/>
      <c r="R25" s="17"/>
      <c r="S25" s="17"/>
      <c r="T25" s="17"/>
      <c r="U25" s="17"/>
      <c r="V25" s="17"/>
      <c r="W25" s="17"/>
      <c r="X25" s="17"/>
      <c r="Y25" s="17"/>
      <c r="Z25" s="17"/>
      <c r="AA25" s="17"/>
      <c r="AB25" s="17"/>
      <c r="AC25" s="17"/>
      <c r="AD25" s="17"/>
    </row>
    <row r="26" spans="1:30" x14ac:dyDescent="0.25">
      <c r="A26" s="17"/>
      <c r="B26" s="170">
        <v>14</v>
      </c>
      <c r="C26" s="484"/>
      <c r="D26" s="484"/>
      <c r="E26" s="364"/>
      <c r="F26" s="17"/>
      <c r="G26" s="17"/>
      <c r="H26" s="17"/>
      <c r="I26" s="17"/>
      <c r="J26" s="17"/>
      <c r="K26" s="17"/>
      <c r="L26" s="17"/>
      <c r="M26" s="17"/>
      <c r="N26" s="17"/>
      <c r="O26" s="17"/>
      <c r="P26" s="17"/>
      <c r="Q26" s="17"/>
      <c r="R26" s="17"/>
      <c r="S26" s="17"/>
      <c r="T26" s="17"/>
      <c r="U26" s="17"/>
      <c r="V26" s="17"/>
      <c r="W26" s="17"/>
      <c r="X26" s="17"/>
      <c r="Y26" s="17"/>
      <c r="Z26" s="17"/>
      <c r="AA26" s="17"/>
      <c r="AB26" s="17"/>
      <c r="AC26" s="17"/>
      <c r="AD26" s="17"/>
    </row>
    <row r="27" spans="1:30" x14ac:dyDescent="0.25">
      <c r="A27" s="17"/>
      <c r="B27" s="170">
        <v>15</v>
      </c>
      <c r="C27" s="484"/>
      <c r="D27" s="484"/>
      <c r="E27" s="364"/>
      <c r="F27" s="17"/>
      <c r="G27" s="17"/>
      <c r="H27" s="17"/>
      <c r="I27" s="17"/>
      <c r="J27" s="17"/>
      <c r="K27" s="17"/>
      <c r="L27" s="17"/>
      <c r="M27" s="17"/>
      <c r="N27" s="17"/>
      <c r="O27" s="17"/>
      <c r="P27" s="17"/>
      <c r="Q27" s="17"/>
      <c r="R27" s="17"/>
      <c r="S27" s="17"/>
      <c r="T27" s="17"/>
      <c r="U27" s="17"/>
      <c r="V27" s="17"/>
      <c r="W27" s="17"/>
      <c r="X27" s="17"/>
      <c r="Y27" s="17"/>
      <c r="Z27" s="17"/>
      <c r="AA27" s="17"/>
      <c r="AB27" s="17"/>
      <c r="AC27" s="17"/>
      <c r="AD27" s="17"/>
    </row>
    <row r="28" spans="1:30" x14ac:dyDescent="0.25">
      <c r="A28" s="17"/>
      <c r="B28" s="169">
        <v>16</v>
      </c>
      <c r="C28" s="484"/>
      <c r="D28" s="484"/>
      <c r="E28" s="364"/>
      <c r="F28" s="17"/>
      <c r="G28" s="17"/>
      <c r="H28" s="17"/>
      <c r="I28" s="17"/>
      <c r="J28" s="17"/>
      <c r="K28" s="17"/>
      <c r="L28" s="17"/>
      <c r="M28" s="17"/>
      <c r="N28" s="17"/>
      <c r="O28" s="17"/>
      <c r="P28" s="17"/>
      <c r="Q28" s="17"/>
      <c r="R28" s="17"/>
      <c r="S28" s="17"/>
      <c r="T28" s="17"/>
      <c r="U28" s="17"/>
      <c r="V28" s="17"/>
      <c r="W28" s="17"/>
      <c r="X28" s="17"/>
      <c r="Y28" s="17"/>
      <c r="Z28" s="17"/>
      <c r="AA28" s="17"/>
      <c r="AB28" s="17"/>
      <c r="AC28" s="17"/>
      <c r="AD28" s="17"/>
    </row>
    <row r="29" spans="1:30" x14ac:dyDescent="0.25">
      <c r="A29" s="17"/>
      <c r="B29" s="170">
        <v>17</v>
      </c>
      <c r="C29" s="484"/>
      <c r="D29" s="484"/>
      <c r="E29" s="364"/>
      <c r="F29" s="17"/>
      <c r="G29" s="17"/>
      <c r="H29" s="17"/>
      <c r="I29" s="17"/>
      <c r="J29" s="17"/>
      <c r="K29" s="17"/>
      <c r="L29" s="17"/>
      <c r="M29" s="17"/>
      <c r="N29" s="17"/>
      <c r="O29" s="17"/>
      <c r="P29" s="17"/>
      <c r="Q29" s="17"/>
      <c r="R29" s="17"/>
      <c r="S29" s="17"/>
      <c r="T29" s="17"/>
      <c r="U29" s="17"/>
      <c r="V29" s="17"/>
      <c r="W29" s="17"/>
      <c r="X29" s="17"/>
      <c r="Y29" s="17"/>
      <c r="Z29" s="17"/>
      <c r="AA29" s="17"/>
      <c r="AB29" s="17"/>
      <c r="AC29" s="17"/>
      <c r="AD29" s="17"/>
    </row>
    <row r="30" spans="1:30" x14ac:dyDescent="0.25">
      <c r="A30" s="17"/>
      <c r="B30" s="170">
        <v>18</v>
      </c>
      <c r="C30" s="484"/>
      <c r="D30" s="484"/>
      <c r="E30" s="364"/>
      <c r="F30" s="17"/>
      <c r="G30" s="17"/>
      <c r="H30" s="17"/>
      <c r="I30" s="17"/>
      <c r="J30" s="17"/>
      <c r="K30" s="17"/>
      <c r="L30" s="17"/>
      <c r="M30" s="17"/>
      <c r="N30" s="17"/>
      <c r="O30" s="17"/>
      <c r="P30" s="17"/>
      <c r="Q30" s="17"/>
      <c r="R30" s="17"/>
      <c r="S30" s="17"/>
      <c r="T30" s="17"/>
      <c r="U30" s="17"/>
      <c r="V30" s="17"/>
      <c r="W30" s="17"/>
      <c r="X30" s="17"/>
      <c r="Y30" s="17"/>
      <c r="Z30" s="17"/>
      <c r="AA30" s="17"/>
      <c r="AB30" s="17"/>
      <c r="AC30" s="17"/>
      <c r="AD30" s="17"/>
    </row>
    <row r="31" spans="1:30" x14ac:dyDescent="0.25">
      <c r="A31" s="17"/>
      <c r="B31" s="169">
        <v>19</v>
      </c>
      <c r="C31" s="484"/>
      <c r="D31" s="484"/>
      <c r="E31" s="364"/>
      <c r="F31" s="17"/>
      <c r="G31" s="17"/>
      <c r="H31" s="17"/>
      <c r="I31" s="17"/>
      <c r="J31" s="17"/>
      <c r="K31" s="17"/>
      <c r="L31" s="17"/>
      <c r="M31" s="17"/>
      <c r="N31" s="17"/>
      <c r="O31" s="17"/>
      <c r="P31" s="17"/>
      <c r="Q31" s="17"/>
      <c r="R31" s="17"/>
      <c r="S31" s="17"/>
      <c r="T31" s="17"/>
      <c r="U31" s="17"/>
      <c r="V31" s="17"/>
      <c r="W31" s="17"/>
      <c r="X31" s="17"/>
      <c r="Y31" s="17"/>
      <c r="Z31" s="17"/>
      <c r="AA31" s="17"/>
      <c r="AB31" s="17"/>
      <c r="AC31" s="17"/>
      <c r="AD31" s="17"/>
    </row>
    <row r="32" spans="1:30" x14ac:dyDescent="0.25">
      <c r="A32" s="17"/>
      <c r="B32" s="170">
        <v>20</v>
      </c>
      <c r="C32" s="484"/>
      <c r="D32" s="484"/>
      <c r="E32" s="364"/>
      <c r="F32" s="17"/>
      <c r="G32" s="17"/>
      <c r="H32" s="17"/>
      <c r="I32" s="17"/>
      <c r="J32" s="17"/>
      <c r="K32" s="17"/>
      <c r="L32" s="17"/>
      <c r="M32" s="17"/>
      <c r="N32" s="17"/>
      <c r="O32" s="17"/>
      <c r="P32" s="17"/>
      <c r="Q32" s="17"/>
      <c r="R32" s="17"/>
      <c r="S32" s="17"/>
      <c r="T32" s="17"/>
      <c r="U32" s="17"/>
      <c r="V32" s="17"/>
      <c r="W32" s="17"/>
      <c r="X32" s="17"/>
      <c r="Y32" s="17"/>
      <c r="Z32" s="17"/>
      <c r="AA32" s="17"/>
      <c r="AB32" s="17"/>
      <c r="AC32" s="17"/>
      <c r="AD32" s="17"/>
    </row>
    <row r="33" spans="1:30" x14ac:dyDescent="0.25">
      <c r="A33" s="17"/>
      <c r="B33" s="170">
        <v>21</v>
      </c>
      <c r="C33" s="484"/>
      <c r="D33" s="484"/>
      <c r="E33" s="364"/>
      <c r="F33" s="17"/>
      <c r="G33" s="17"/>
      <c r="H33" s="17"/>
      <c r="I33" s="17"/>
      <c r="J33" s="17"/>
      <c r="K33" s="17"/>
      <c r="L33" s="17"/>
      <c r="M33" s="17"/>
      <c r="N33" s="17"/>
      <c r="O33" s="17"/>
      <c r="P33" s="17"/>
      <c r="Q33" s="17"/>
      <c r="R33" s="17"/>
      <c r="S33" s="17"/>
      <c r="T33" s="17"/>
      <c r="U33" s="17"/>
      <c r="V33" s="17"/>
      <c r="W33" s="17"/>
      <c r="X33" s="17"/>
      <c r="Y33" s="17"/>
      <c r="Z33" s="17"/>
      <c r="AA33" s="17"/>
      <c r="AB33" s="17"/>
      <c r="AC33" s="17"/>
      <c r="AD33" s="17"/>
    </row>
    <row r="34" spans="1:30" x14ac:dyDescent="0.25">
      <c r="A34" s="17"/>
      <c r="B34" s="169">
        <v>22</v>
      </c>
      <c r="C34" s="484"/>
      <c r="D34" s="484"/>
      <c r="E34" s="364"/>
      <c r="F34" s="17"/>
      <c r="G34" s="17"/>
      <c r="H34" s="17"/>
      <c r="I34" s="17"/>
      <c r="J34" s="17"/>
      <c r="K34" s="17"/>
      <c r="L34" s="17"/>
      <c r="M34" s="17"/>
      <c r="N34" s="17"/>
      <c r="O34" s="17"/>
      <c r="P34" s="17"/>
      <c r="Q34" s="17"/>
      <c r="R34" s="17"/>
      <c r="S34" s="17"/>
      <c r="T34" s="17"/>
      <c r="U34" s="17"/>
      <c r="V34" s="17"/>
      <c r="W34" s="17"/>
      <c r="X34" s="17"/>
      <c r="Y34" s="17"/>
      <c r="Z34" s="17"/>
      <c r="AA34" s="17"/>
      <c r="AB34" s="17"/>
      <c r="AC34" s="17"/>
      <c r="AD34" s="17"/>
    </row>
    <row r="35" spans="1:30" x14ac:dyDescent="0.25">
      <c r="A35" s="17"/>
      <c r="B35" s="170">
        <v>23</v>
      </c>
      <c r="C35" s="484"/>
      <c r="D35" s="484"/>
      <c r="E35" s="364"/>
      <c r="F35" s="17"/>
      <c r="G35" s="17"/>
      <c r="H35" s="17"/>
      <c r="I35" s="17"/>
      <c r="J35" s="17"/>
      <c r="K35" s="17"/>
      <c r="L35" s="17"/>
      <c r="M35" s="17"/>
      <c r="N35" s="17"/>
      <c r="O35" s="17"/>
      <c r="P35" s="17"/>
      <c r="Q35" s="17"/>
      <c r="R35" s="17"/>
      <c r="S35" s="17"/>
      <c r="T35" s="17"/>
      <c r="U35" s="17"/>
      <c r="V35" s="17"/>
      <c r="W35" s="17"/>
      <c r="X35" s="17"/>
      <c r="Y35" s="17"/>
      <c r="Z35" s="17"/>
      <c r="AA35" s="17"/>
      <c r="AB35" s="17"/>
      <c r="AC35" s="17"/>
      <c r="AD35" s="17"/>
    </row>
    <row r="36" spans="1:30" x14ac:dyDescent="0.25">
      <c r="A36" s="17"/>
      <c r="B36" s="170">
        <v>24</v>
      </c>
      <c r="C36" s="484"/>
      <c r="D36" s="484"/>
      <c r="E36" s="364"/>
      <c r="F36" s="17"/>
      <c r="G36" s="17"/>
      <c r="H36" s="17"/>
      <c r="I36" s="17"/>
      <c r="J36" s="17"/>
      <c r="K36" s="17"/>
      <c r="L36" s="17"/>
      <c r="M36" s="17"/>
      <c r="N36" s="17"/>
      <c r="O36" s="17"/>
      <c r="P36" s="17"/>
      <c r="Q36" s="17"/>
      <c r="R36" s="17"/>
      <c r="S36" s="17"/>
      <c r="T36" s="17"/>
      <c r="U36" s="17"/>
      <c r="V36" s="17"/>
      <c r="W36" s="17"/>
      <c r="X36" s="17"/>
      <c r="Y36" s="17"/>
      <c r="Z36" s="17"/>
      <c r="AA36" s="17"/>
      <c r="AB36" s="17"/>
      <c r="AC36" s="17"/>
      <c r="AD36" s="17"/>
    </row>
    <row r="37" spans="1:30" x14ac:dyDescent="0.25">
      <c r="A37" s="17"/>
      <c r="B37" s="169">
        <v>25</v>
      </c>
      <c r="C37" s="484"/>
      <c r="D37" s="484"/>
      <c r="E37" s="364"/>
      <c r="F37" s="17"/>
      <c r="G37" s="17"/>
      <c r="H37" s="17"/>
      <c r="I37" s="17"/>
      <c r="J37" s="17"/>
      <c r="K37" s="17"/>
      <c r="L37" s="17"/>
      <c r="M37" s="17"/>
      <c r="N37" s="17"/>
      <c r="O37" s="17"/>
      <c r="P37" s="17"/>
      <c r="Q37" s="17"/>
      <c r="R37" s="17"/>
      <c r="S37" s="17"/>
      <c r="T37" s="17"/>
      <c r="U37" s="17"/>
      <c r="V37" s="17"/>
      <c r="W37" s="17"/>
      <c r="X37" s="17"/>
      <c r="Y37" s="17"/>
      <c r="Z37" s="17"/>
      <c r="AA37" s="17"/>
      <c r="AB37" s="17"/>
      <c r="AC37" s="17"/>
      <c r="AD37" s="17"/>
    </row>
    <row r="38" spans="1:30" x14ac:dyDescent="0.25">
      <c r="A38" s="17"/>
      <c r="B38" s="170">
        <v>26</v>
      </c>
      <c r="C38" s="484"/>
      <c r="D38" s="484"/>
      <c r="E38" s="364"/>
      <c r="F38" s="17"/>
      <c r="G38" s="17"/>
      <c r="H38" s="17"/>
      <c r="I38" s="17"/>
      <c r="J38" s="17"/>
      <c r="K38" s="17"/>
      <c r="L38" s="17"/>
      <c r="M38" s="17"/>
      <c r="N38" s="17"/>
      <c r="O38" s="17"/>
      <c r="P38" s="17"/>
      <c r="Q38" s="17"/>
      <c r="R38" s="17"/>
      <c r="S38" s="17"/>
      <c r="T38" s="17"/>
      <c r="U38" s="17"/>
      <c r="V38" s="17"/>
      <c r="W38" s="17"/>
      <c r="X38" s="17"/>
      <c r="Y38" s="17"/>
      <c r="Z38" s="17"/>
      <c r="AA38" s="17"/>
      <c r="AB38" s="17"/>
      <c r="AC38" s="17"/>
      <c r="AD38" s="17"/>
    </row>
    <row r="39" spans="1:30" x14ac:dyDescent="0.25">
      <c r="A39" s="17"/>
      <c r="B39" s="170">
        <v>27</v>
      </c>
      <c r="C39" s="484"/>
      <c r="D39" s="484"/>
      <c r="E39" s="364"/>
      <c r="F39" s="17"/>
      <c r="G39" s="17"/>
      <c r="H39" s="17"/>
      <c r="I39" s="17"/>
      <c r="J39" s="17"/>
      <c r="K39" s="17"/>
      <c r="L39" s="17"/>
      <c r="M39" s="17"/>
      <c r="N39" s="17"/>
      <c r="O39" s="17"/>
      <c r="P39" s="17"/>
      <c r="Q39" s="17"/>
      <c r="R39" s="17"/>
      <c r="S39" s="17"/>
      <c r="T39" s="17"/>
      <c r="U39" s="17"/>
      <c r="V39" s="17"/>
      <c r="W39" s="17"/>
      <c r="X39" s="17"/>
      <c r="Y39" s="17"/>
      <c r="Z39" s="17"/>
      <c r="AA39" s="17"/>
      <c r="AB39" s="17"/>
      <c r="AC39" s="17"/>
      <c r="AD39" s="17"/>
    </row>
    <row r="40" spans="1:30" x14ac:dyDescent="0.25">
      <c r="A40" s="17"/>
      <c r="B40" s="169">
        <v>28</v>
      </c>
      <c r="C40" s="484"/>
      <c r="D40" s="484"/>
      <c r="E40" s="364"/>
      <c r="F40" s="17"/>
      <c r="G40" s="17"/>
      <c r="H40" s="17"/>
      <c r="I40" s="17"/>
      <c r="J40" s="17"/>
      <c r="K40" s="17"/>
      <c r="L40" s="17"/>
      <c r="M40" s="17"/>
      <c r="N40" s="17"/>
      <c r="O40" s="17"/>
      <c r="P40" s="17"/>
      <c r="Q40" s="17"/>
      <c r="R40" s="17"/>
      <c r="S40" s="17"/>
      <c r="T40" s="17"/>
      <c r="U40" s="17"/>
      <c r="V40" s="17"/>
      <c r="W40" s="17"/>
      <c r="X40" s="17"/>
      <c r="Y40" s="17"/>
      <c r="Z40" s="17"/>
      <c r="AA40" s="17"/>
      <c r="AB40" s="17"/>
      <c r="AC40" s="17"/>
      <c r="AD40" s="17"/>
    </row>
    <row r="41" spans="1:30" x14ac:dyDescent="0.25">
      <c r="A41" s="17"/>
      <c r="B41" s="170">
        <v>29</v>
      </c>
      <c r="C41" s="484"/>
      <c r="D41" s="484"/>
      <c r="E41" s="364"/>
      <c r="F41" s="17"/>
      <c r="G41" s="17"/>
      <c r="H41" s="17"/>
      <c r="I41" s="17"/>
      <c r="J41" s="17"/>
      <c r="K41" s="17"/>
      <c r="L41" s="17"/>
      <c r="M41" s="17"/>
      <c r="N41" s="17"/>
      <c r="O41" s="17"/>
      <c r="P41" s="17"/>
      <c r="Q41" s="17"/>
      <c r="R41" s="17"/>
      <c r="S41" s="17"/>
      <c r="T41" s="17"/>
      <c r="U41" s="17"/>
      <c r="V41" s="17"/>
      <c r="W41" s="17"/>
      <c r="X41" s="17"/>
      <c r="Y41" s="17"/>
      <c r="Z41" s="17"/>
      <c r="AA41" s="17"/>
      <c r="AB41" s="17"/>
      <c r="AC41" s="17"/>
      <c r="AD41" s="17"/>
    </row>
    <row r="42" spans="1:30" x14ac:dyDescent="0.25">
      <c r="A42" s="17"/>
      <c r="B42" s="170">
        <v>30</v>
      </c>
      <c r="C42" s="484"/>
      <c r="D42" s="484"/>
      <c r="E42" s="364"/>
      <c r="F42" s="17"/>
      <c r="G42" s="17"/>
      <c r="H42" s="17"/>
      <c r="I42" s="17"/>
      <c r="J42" s="17"/>
      <c r="K42" s="17"/>
      <c r="L42" s="17"/>
      <c r="M42" s="17"/>
      <c r="N42" s="17"/>
      <c r="O42" s="17"/>
      <c r="P42" s="17"/>
      <c r="Q42" s="17"/>
      <c r="R42" s="17"/>
      <c r="S42" s="17"/>
      <c r="T42" s="17"/>
      <c r="U42" s="17"/>
      <c r="V42" s="17"/>
      <c r="W42" s="17"/>
      <c r="X42" s="17"/>
      <c r="Y42" s="17"/>
      <c r="Z42" s="17"/>
      <c r="AA42" s="17"/>
      <c r="AB42" s="17"/>
      <c r="AC42" s="17"/>
      <c r="AD42" s="17"/>
    </row>
    <row r="43" spans="1:30" x14ac:dyDescent="0.25">
      <c r="A43" s="17"/>
      <c r="B43" s="169">
        <v>31</v>
      </c>
      <c r="C43" s="484"/>
      <c r="D43" s="484"/>
      <c r="E43" s="364"/>
      <c r="F43" s="17"/>
      <c r="G43" s="17"/>
      <c r="H43" s="17"/>
      <c r="I43" s="17"/>
      <c r="J43" s="17"/>
      <c r="K43" s="17"/>
      <c r="L43" s="17"/>
      <c r="M43" s="17"/>
      <c r="N43" s="17"/>
      <c r="O43" s="17"/>
      <c r="P43" s="17"/>
      <c r="Q43" s="17"/>
      <c r="R43" s="17"/>
      <c r="S43" s="17"/>
      <c r="T43" s="17"/>
      <c r="U43" s="17"/>
      <c r="V43" s="17"/>
      <c r="W43" s="17"/>
      <c r="X43" s="17"/>
      <c r="Y43" s="17"/>
      <c r="Z43" s="17"/>
      <c r="AA43" s="17"/>
      <c r="AB43" s="17"/>
      <c r="AC43" s="17"/>
      <c r="AD43" s="17"/>
    </row>
    <row r="44" spans="1:30" x14ac:dyDescent="0.25">
      <c r="A44" s="17"/>
      <c r="B44" s="170">
        <v>32</v>
      </c>
      <c r="C44" s="484"/>
      <c r="D44" s="484"/>
      <c r="E44" s="364"/>
      <c r="F44" s="17"/>
      <c r="G44" s="17"/>
      <c r="H44" s="17"/>
      <c r="I44" s="17"/>
      <c r="J44" s="17"/>
      <c r="K44" s="17"/>
      <c r="L44" s="17"/>
      <c r="M44" s="17"/>
      <c r="N44" s="17"/>
      <c r="O44" s="17"/>
      <c r="P44" s="17"/>
      <c r="Q44" s="17"/>
      <c r="R44" s="17"/>
      <c r="S44" s="17"/>
      <c r="T44" s="17"/>
      <c r="U44" s="17"/>
      <c r="V44" s="17"/>
      <c r="W44" s="17"/>
      <c r="X44" s="17"/>
      <c r="Y44" s="17"/>
      <c r="Z44" s="17"/>
      <c r="AA44" s="17"/>
      <c r="AB44" s="17"/>
      <c r="AC44" s="17"/>
      <c r="AD44" s="17"/>
    </row>
    <row r="45" spans="1:30" x14ac:dyDescent="0.25">
      <c r="A45" s="17"/>
      <c r="B45" s="170">
        <v>33</v>
      </c>
      <c r="C45" s="484"/>
      <c r="D45" s="484"/>
      <c r="E45" s="364"/>
      <c r="F45" s="17"/>
      <c r="G45" s="17"/>
      <c r="H45" s="17"/>
      <c r="I45" s="17"/>
      <c r="J45" s="17"/>
      <c r="K45" s="17"/>
      <c r="L45" s="17"/>
      <c r="M45" s="17"/>
      <c r="N45" s="17"/>
      <c r="O45" s="17"/>
      <c r="P45" s="17"/>
      <c r="Q45" s="17"/>
      <c r="R45" s="17"/>
      <c r="S45" s="17"/>
      <c r="T45" s="17"/>
      <c r="U45" s="17"/>
      <c r="V45" s="17"/>
      <c r="W45" s="17"/>
      <c r="X45" s="17"/>
      <c r="Y45" s="17"/>
      <c r="Z45" s="17"/>
      <c r="AA45" s="17"/>
      <c r="AB45" s="17"/>
      <c r="AC45" s="17"/>
      <c r="AD45" s="17"/>
    </row>
    <row r="46" spans="1:30" x14ac:dyDescent="0.25">
      <c r="A46" s="17"/>
      <c r="B46" s="169">
        <v>34</v>
      </c>
      <c r="C46" s="484"/>
      <c r="D46" s="484"/>
      <c r="E46" s="364"/>
      <c r="F46" s="17"/>
      <c r="G46" s="17"/>
      <c r="H46" s="17"/>
      <c r="I46" s="17"/>
      <c r="J46" s="17"/>
      <c r="K46" s="17"/>
      <c r="L46" s="17"/>
      <c r="M46" s="17"/>
      <c r="N46" s="17"/>
      <c r="O46" s="17"/>
      <c r="P46" s="17"/>
      <c r="Q46" s="17"/>
      <c r="R46" s="17"/>
      <c r="S46" s="17"/>
      <c r="T46" s="17"/>
      <c r="U46" s="17"/>
      <c r="V46" s="17"/>
      <c r="W46" s="17"/>
      <c r="X46" s="17"/>
      <c r="Y46" s="17"/>
      <c r="Z46" s="17"/>
      <c r="AA46" s="17"/>
      <c r="AB46" s="17"/>
      <c r="AC46" s="17"/>
      <c r="AD46" s="17"/>
    </row>
    <row r="47" spans="1:30" x14ac:dyDescent="0.25">
      <c r="A47" s="17"/>
      <c r="B47" s="170">
        <v>35</v>
      </c>
      <c r="C47" s="484"/>
      <c r="D47" s="484"/>
      <c r="E47" s="364"/>
      <c r="F47" s="17"/>
      <c r="G47" s="17"/>
      <c r="H47" s="17"/>
      <c r="I47" s="17"/>
      <c r="J47" s="17"/>
      <c r="K47" s="17"/>
      <c r="L47" s="17"/>
      <c r="M47" s="17"/>
      <c r="N47" s="17"/>
      <c r="O47" s="17"/>
      <c r="P47" s="17"/>
      <c r="Q47" s="17"/>
      <c r="R47" s="17"/>
      <c r="S47" s="17"/>
      <c r="T47" s="17"/>
      <c r="U47" s="17"/>
      <c r="V47" s="17"/>
      <c r="W47" s="17"/>
      <c r="X47" s="17"/>
      <c r="Y47" s="17"/>
      <c r="Z47" s="17"/>
      <c r="AA47" s="17"/>
      <c r="AB47" s="17"/>
      <c r="AC47" s="17"/>
      <c r="AD47" s="17"/>
    </row>
    <row r="48" spans="1:30" x14ac:dyDescent="0.25">
      <c r="A48" s="17"/>
      <c r="B48" s="170">
        <v>36</v>
      </c>
      <c r="C48" s="484"/>
      <c r="D48" s="484"/>
      <c r="E48" s="364"/>
      <c r="F48" s="17"/>
      <c r="G48" s="17"/>
      <c r="H48" s="17"/>
      <c r="I48" s="17"/>
      <c r="J48" s="17"/>
      <c r="K48" s="17"/>
      <c r="L48" s="17"/>
      <c r="M48" s="17"/>
      <c r="N48" s="17"/>
      <c r="O48" s="17"/>
      <c r="P48" s="17"/>
      <c r="Q48" s="17"/>
      <c r="R48" s="17"/>
      <c r="S48" s="17"/>
      <c r="T48" s="17"/>
      <c r="U48" s="17"/>
      <c r="V48" s="17"/>
      <c r="W48" s="17"/>
      <c r="X48" s="17"/>
      <c r="Y48" s="17"/>
      <c r="Z48" s="17"/>
      <c r="AA48" s="17"/>
      <c r="AB48" s="17"/>
      <c r="AC48" s="17"/>
      <c r="AD48" s="17"/>
    </row>
    <row r="49" spans="1:30" x14ac:dyDescent="0.25">
      <c r="A49" s="17"/>
      <c r="B49" s="169">
        <v>37</v>
      </c>
      <c r="C49" s="484"/>
      <c r="D49" s="484"/>
      <c r="E49" s="364"/>
      <c r="F49" s="17"/>
      <c r="G49" s="17"/>
      <c r="H49" s="17"/>
      <c r="I49" s="17"/>
      <c r="J49" s="17"/>
      <c r="K49" s="17"/>
      <c r="L49" s="17"/>
      <c r="M49" s="17"/>
      <c r="N49" s="17"/>
      <c r="O49" s="17"/>
      <c r="P49" s="17"/>
      <c r="Q49" s="17"/>
      <c r="R49" s="17"/>
      <c r="S49" s="17"/>
      <c r="T49" s="17"/>
      <c r="U49" s="17"/>
      <c r="V49" s="17"/>
      <c r="W49" s="17"/>
      <c r="X49" s="17"/>
      <c r="Y49" s="17"/>
      <c r="Z49" s="17"/>
      <c r="AA49" s="17"/>
      <c r="AB49" s="17"/>
      <c r="AC49" s="17"/>
      <c r="AD49" s="17"/>
    </row>
    <row r="50" spans="1:30" x14ac:dyDescent="0.25">
      <c r="A50" s="17"/>
      <c r="B50" s="170">
        <v>38</v>
      </c>
      <c r="C50" s="484"/>
      <c r="D50" s="484"/>
      <c r="E50" s="364"/>
      <c r="F50" s="17"/>
      <c r="G50" s="17"/>
      <c r="H50" s="17"/>
      <c r="I50" s="17"/>
      <c r="J50" s="17"/>
      <c r="K50" s="17"/>
      <c r="L50" s="17"/>
      <c r="M50" s="17"/>
      <c r="N50" s="17"/>
      <c r="O50" s="17"/>
      <c r="P50" s="17"/>
      <c r="Q50" s="17"/>
      <c r="R50" s="17"/>
      <c r="S50" s="17"/>
      <c r="T50" s="17"/>
      <c r="U50" s="17"/>
      <c r="V50" s="17"/>
      <c r="W50" s="17"/>
      <c r="X50" s="17"/>
      <c r="Y50" s="17"/>
      <c r="Z50" s="17"/>
      <c r="AA50" s="17"/>
      <c r="AB50" s="17"/>
      <c r="AC50" s="17"/>
      <c r="AD50" s="17"/>
    </row>
    <row r="51" spans="1:30" x14ac:dyDescent="0.25">
      <c r="A51" s="17"/>
      <c r="B51" s="169">
        <v>39</v>
      </c>
      <c r="C51" s="484"/>
      <c r="D51" s="484"/>
      <c r="E51" s="364"/>
      <c r="F51" s="17"/>
      <c r="G51" s="17"/>
      <c r="H51" s="17"/>
      <c r="I51" s="17"/>
      <c r="J51" s="17"/>
      <c r="K51" s="17"/>
      <c r="L51" s="17"/>
      <c r="M51" s="17"/>
      <c r="N51" s="17"/>
      <c r="O51" s="17"/>
      <c r="P51" s="17"/>
      <c r="Q51" s="17"/>
      <c r="R51" s="17"/>
      <c r="S51" s="17"/>
      <c r="T51" s="17"/>
      <c r="U51" s="17"/>
      <c r="V51" s="17"/>
      <c r="W51" s="17"/>
      <c r="X51" s="17"/>
      <c r="Y51" s="17"/>
      <c r="Z51" s="17"/>
      <c r="AA51" s="17"/>
      <c r="AB51" s="17"/>
      <c r="AC51" s="17"/>
      <c r="AD51" s="17"/>
    </row>
    <row r="52" spans="1:30" x14ac:dyDescent="0.25">
      <c r="A52" s="17"/>
      <c r="B52" s="170">
        <v>40</v>
      </c>
      <c r="C52" s="484"/>
      <c r="D52" s="484"/>
      <c r="E52" s="364"/>
      <c r="F52" s="17"/>
      <c r="G52" s="17"/>
      <c r="H52" s="17"/>
      <c r="I52" s="17"/>
      <c r="J52" s="17"/>
      <c r="K52" s="17"/>
      <c r="L52" s="17"/>
      <c r="M52" s="17"/>
      <c r="N52" s="17"/>
      <c r="O52" s="17"/>
      <c r="P52" s="17"/>
      <c r="Q52" s="17"/>
      <c r="R52" s="17"/>
      <c r="S52" s="17"/>
      <c r="T52" s="17"/>
      <c r="U52" s="17"/>
      <c r="V52" s="17"/>
      <c r="W52" s="17"/>
      <c r="X52" s="17"/>
      <c r="Y52" s="17"/>
      <c r="Z52" s="17"/>
      <c r="AA52" s="17"/>
      <c r="AB52" s="17"/>
      <c r="AC52" s="17"/>
      <c r="AD52" s="17"/>
    </row>
    <row r="53" spans="1:30" hidden="1" x14ac:dyDescent="0.25">
      <c r="A53" s="17"/>
      <c r="B53" s="17"/>
      <c r="C53" s="17"/>
      <c r="D53" s="17"/>
      <c r="E53" s="17"/>
      <c r="F53" s="17"/>
      <c r="G53" s="17"/>
      <c r="H53" s="17"/>
      <c r="I53" s="17"/>
      <c r="J53" s="17"/>
      <c r="K53" s="17"/>
      <c r="L53" s="17"/>
      <c r="M53" s="17"/>
      <c r="N53" s="17"/>
      <c r="O53" s="17"/>
      <c r="P53" s="17"/>
      <c r="Q53" s="17"/>
      <c r="R53" s="17"/>
      <c r="S53" s="17"/>
      <c r="T53" s="17"/>
      <c r="U53" s="17"/>
      <c r="V53" s="17"/>
      <c r="W53" s="17"/>
      <c r="X53" s="17"/>
      <c r="Y53" s="17"/>
      <c r="Z53" s="17"/>
      <c r="AA53" s="17"/>
      <c r="AB53" s="17"/>
      <c r="AC53" s="17"/>
      <c r="AD53" s="17"/>
    </row>
    <row r="54" spans="1:30" hidden="1" x14ac:dyDescent="0.25">
      <c r="A54" s="17"/>
      <c r="B54" s="17"/>
      <c r="C54" s="17"/>
      <c r="D54" s="17"/>
      <c r="E54" s="17"/>
      <c r="F54" s="17"/>
      <c r="G54" s="17"/>
      <c r="H54" s="17"/>
      <c r="I54" s="17"/>
      <c r="J54" s="17"/>
      <c r="K54" s="17"/>
      <c r="L54" s="17"/>
      <c r="M54" s="17"/>
      <c r="N54" s="17"/>
      <c r="O54" s="17"/>
      <c r="P54" s="17"/>
      <c r="Q54" s="17"/>
      <c r="R54" s="17"/>
      <c r="S54" s="17"/>
      <c r="T54" s="17"/>
      <c r="U54" s="17"/>
      <c r="V54" s="17"/>
      <c r="W54" s="17"/>
      <c r="X54" s="17"/>
      <c r="Y54" s="17"/>
      <c r="Z54" s="17"/>
      <c r="AA54" s="17"/>
      <c r="AB54" s="17"/>
      <c r="AC54" s="17"/>
      <c r="AD54" s="17"/>
    </row>
    <row r="55" spans="1:30" hidden="1" x14ac:dyDescent="0.25">
      <c r="A55" s="17"/>
      <c r="B55" s="17"/>
      <c r="C55" s="17"/>
      <c r="D55" s="17"/>
      <c r="E55" s="17"/>
      <c r="F55" s="17"/>
      <c r="G55" s="17"/>
      <c r="H55" s="17"/>
      <c r="I55" s="17"/>
      <c r="J55" s="17"/>
      <c r="K55" s="17"/>
      <c r="L55" s="17"/>
      <c r="M55" s="17"/>
      <c r="N55" s="17"/>
      <c r="O55" s="17"/>
      <c r="P55" s="17"/>
      <c r="Q55" s="17"/>
      <c r="R55" s="17"/>
      <c r="S55" s="92"/>
      <c r="T55" s="17"/>
      <c r="U55" s="17"/>
      <c r="V55" s="17"/>
      <c r="W55" s="17"/>
      <c r="X55" s="17"/>
      <c r="Y55" s="17"/>
      <c r="Z55" s="17"/>
      <c r="AA55" s="17"/>
      <c r="AB55" s="17"/>
      <c r="AC55" s="17"/>
      <c r="AD55" s="17"/>
    </row>
    <row r="56" spans="1:30" hidden="1" x14ac:dyDescent="0.25">
      <c r="A56" s="17"/>
      <c r="B56" s="17"/>
      <c r="C56" s="17"/>
      <c r="D56" s="17"/>
      <c r="E56" s="17"/>
      <c r="F56" s="17"/>
      <c r="G56" s="17"/>
      <c r="H56" s="17"/>
      <c r="I56" s="17"/>
      <c r="J56" s="17"/>
      <c r="K56" s="17"/>
      <c r="L56" s="17"/>
      <c r="M56" s="17"/>
      <c r="N56" s="17"/>
      <c r="O56" s="17"/>
      <c r="P56" s="17"/>
      <c r="Q56" s="17"/>
      <c r="R56" s="17"/>
      <c r="S56" s="17"/>
      <c r="T56" s="17"/>
      <c r="U56" s="17"/>
      <c r="V56" s="17"/>
      <c r="W56" s="17"/>
      <c r="X56" s="17"/>
      <c r="Y56" s="17"/>
      <c r="Z56" s="17"/>
      <c r="AA56" s="17"/>
      <c r="AB56" s="17"/>
      <c r="AC56" s="17"/>
      <c r="AD56" s="17"/>
    </row>
    <row r="57" spans="1:30" hidden="1" x14ac:dyDescent="0.25">
      <c r="A57" s="17"/>
      <c r="B57" s="17"/>
      <c r="C57" s="17"/>
      <c r="D57" s="17"/>
      <c r="E57" s="17"/>
      <c r="F57" s="17"/>
      <c r="G57" s="17"/>
      <c r="H57" s="17"/>
      <c r="I57" s="17"/>
      <c r="J57" s="17"/>
      <c r="K57" s="17"/>
      <c r="L57" s="17"/>
      <c r="M57" s="17"/>
      <c r="N57" s="17"/>
      <c r="O57" s="17"/>
      <c r="P57" s="17"/>
      <c r="Q57" s="17"/>
      <c r="R57" s="17"/>
      <c r="S57" s="17"/>
      <c r="T57" s="17"/>
      <c r="U57" s="17"/>
      <c r="V57" s="17"/>
      <c r="W57" s="17"/>
      <c r="X57" s="17"/>
      <c r="Y57" s="17"/>
      <c r="Z57" s="17"/>
      <c r="AA57" s="17"/>
      <c r="AB57" s="17"/>
      <c r="AC57" s="17"/>
      <c r="AD57" s="17"/>
    </row>
    <row r="58" spans="1:30" hidden="1" x14ac:dyDescent="0.25">
      <c r="A58" s="17"/>
      <c r="B58" s="17"/>
      <c r="C58" s="17"/>
      <c r="D58" s="17"/>
      <c r="E58" s="17"/>
      <c r="F58" s="17"/>
      <c r="G58" s="17"/>
      <c r="H58" s="17"/>
      <c r="I58" s="17"/>
      <c r="J58" s="17"/>
      <c r="K58" s="17"/>
      <c r="L58" s="17"/>
      <c r="M58" s="17"/>
      <c r="N58" s="17"/>
      <c r="O58" s="17"/>
      <c r="P58" s="17"/>
      <c r="Q58" s="17"/>
      <c r="R58" s="17"/>
      <c r="S58" s="17"/>
      <c r="T58" s="17"/>
      <c r="U58" s="17"/>
      <c r="V58" s="17"/>
      <c r="W58" s="17"/>
      <c r="X58" s="17"/>
      <c r="Y58" s="17"/>
      <c r="Z58" s="17"/>
      <c r="AA58" s="17"/>
      <c r="AB58" s="17"/>
      <c r="AC58" s="17"/>
      <c r="AD58" s="17"/>
    </row>
    <row r="59" spans="1:30" hidden="1" x14ac:dyDescent="0.25">
      <c r="A59" s="17"/>
      <c r="B59" s="17"/>
      <c r="C59" s="17"/>
      <c r="D59" s="17"/>
      <c r="E59" s="17"/>
      <c r="F59" s="17"/>
      <c r="G59" s="17"/>
      <c r="H59" s="17"/>
      <c r="I59" s="17"/>
      <c r="J59" s="17"/>
      <c r="K59" s="17"/>
      <c r="L59" s="17"/>
      <c r="M59" s="17"/>
      <c r="N59" s="17"/>
      <c r="O59" s="17"/>
      <c r="P59" s="17"/>
      <c r="Q59" s="17"/>
      <c r="R59" s="17"/>
      <c r="S59" s="17"/>
      <c r="T59" s="17"/>
      <c r="U59" s="17"/>
      <c r="V59" s="17"/>
      <c r="W59" s="17"/>
      <c r="X59" s="17"/>
      <c r="Y59" s="17"/>
      <c r="Z59" s="17"/>
      <c r="AA59" s="17"/>
      <c r="AB59" s="17"/>
      <c r="AC59" s="17"/>
      <c r="AD59" s="17"/>
    </row>
    <row r="60" spans="1:30" hidden="1" x14ac:dyDescent="0.25">
      <c r="A60" s="17"/>
      <c r="B60" s="17"/>
      <c r="C60" s="17"/>
      <c r="D60" s="17"/>
      <c r="E60" s="17"/>
      <c r="F60" s="17"/>
      <c r="G60" s="17"/>
      <c r="H60" s="17"/>
      <c r="I60" s="17"/>
      <c r="J60" s="17"/>
      <c r="K60" s="17"/>
      <c r="L60" s="17"/>
      <c r="M60" s="17"/>
      <c r="N60" s="17"/>
      <c r="O60" s="17"/>
      <c r="P60" s="17"/>
      <c r="Q60" s="17"/>
      <c r="R60" s="17"/>
      <c r="S60" s="17"/>
      <c r="T60" s="17"/>
      <c r="U60" s="17"/>
      <c r="V60" s="17"/>
      <c r="W60" s="17"/>
      <c r="X60" s="17"/>
      <c r="Y60" s="17"/>
      <c r="Z60" s="17"/>
      <c r="AA60" s="17"/>
      <c r="AB60" s="17"/>
      <c r="AC60" s="17"/>
      <c r="AD60" s="17"/>
    </row>
    <row r="61" spans="1:30" hidden="1" x14ac:dyDescent="0.25">
      <c r="A61" s="17"/>
      <c r="B61" s="17"/>
      <c r="C61" s="17"/>
      <c r="D61" s="17"/>
      <c r="E61" s="17"/>
      <c r="F61" s="17"/>
      <c r="G61" s="17"/>
      <c r="H61" s="17"/>
      <c r="I61" s="17"/>
      <c r="J61" s="17"/>
      <c r="K61" s="17"/>
      <c r="L61" s="17"/>
      <c r="M61" s="17"/>
      <c r="N61" s="17"/>
      <c r="O61" s="17"/>
      <c r="P61" s="17"/>
      <c r="Q61" s="17"/>
      <c r="R61" s="17"/>
      <c r="S61" s="17"/>
      <c r="T61" s="17"/>
      <c r="U61" s="17"/>
      <c r="V61" s="17"/>
      <c r="W61" s="17"/>
      <c r="X61" s="17"/>
      <c r="Y61" s="17"/>
      <c r="Z61" s="17"/>
      <c r="AA61" s="17"/>
      <c r="AB61" s="17"/>
      <c r="AC61" s="17"/>
      <c r="AD61" s="17"/>
    </row>
    <row r="62" spans="1:30" hidden="1" x14ac:dyDescent="0.25">
      <c r="A62" s="17"/>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row>
    <row r="63" spans="1:30" hidden="1" x14ac:dyDescent="0.25">
      <c r="A63" s="17"/>
      <c r="B63" s="17"/>
      <c r="C63" s="17"/>
      <c r="D63" s="17"/>
      <c r="E63" s="17"/>
      <c r="F63" s="17"/>
      <c r="G63" s="17"/>
      <c r="H63" s="17"/>
      <c r="I63" s="17"/>
      <c r="J63" s="17"/>
      <c r="K63" s="17"/>
      <c r="L63" s="17"/>
      <c r="M63" s="17"/>
      <c r="N63" s="17"/>
      <c r="O63" s="17"/>
      <c r="P63" s="17"/>
      <c r="Q63" s="17"/>
      <c r="R63" s="17"/>
      <c r="S63" s="17"/>
      <c r="T63" s="17"/>
      <c r="U63" s="17"/>
      <c r="V63" s="17"/>
      <c r="W63" s="17"/>
      <c r="X63" s="17"/>
      <c r="Y63" s="17"/>
      <c r="Z63" s="17"/>
      <c r="AA63" s="17"/>
      <c r="AB63" s="17"/>
      <c r="AC63" s="17"/>
      <c r="AD63" s="17"/>
    </row>
    <row r="64" spans="1:30" hidden="1" x14ac:dyDescent="0.25">
      <c r="A64" s="17"/>
      <c r="B64" s="17"/>
      <c r="C64" s="17"/>
      <c r="D64" s="17"/>
      <c r="E64" s="17"/>
      <c r="F64" s="17"/>
      <c r="G64" s="17"/>
      <c r="H64" s="17"/>
      <c r="I64" s="17"/>
      <c r="J64" s="17"/>
      <c r="K64" s="17"/>
      <c r="L64" s="17"/>
      <c r="M64" s="17"/>
      <c r="N64" s="17"/>
      <c r="O64" s="17"/>
      <c r="P64" s="17"/>
      <c r="Q64" s="17"/>
      <c r="R64" s="17"/>
      <c r="S64" s="17"/>
      <c r="T64" s="17"/>
      <c r="U64" s="17"/>
      <c r="V64" s="17"/>
      <c r="W64" s="17"/>
      <c r="X64" s="17"/>
      <c r="Y64" s="17"/>
      <c r="Z64" s="17"/>
      <c r="AA64" s="17"/>
      <c r="AB64" s="17"/>
      <c r="AC64" s="17"/>
      <c r="AD64" s="17"/>
    </row>
    <row r="65" spans="1:30" hidden="1" x14ac:dyDescent="0.25">
      <c r="A65" s="17"/>
      <c r="B65" s="17"/>
      <c r="C65" s="17"/>
      <c r="D65" s="17"/>
      <c r="E65" s="17"/>
      <c r="F65" s="17"/>
      <c r="G65" s="17"/>
      <c r="H65" s="17"/>
      <c r="I65" s="17"/>
      <c r="J65" s="17"/>
      <c r="K65" s="17"/>
      <c r="L65" s="17"/>
      <c r="M65" s="17"/>
      <c r="N65" s="17"/>
      <c r="O65" s="17"/>
      <c r="P65" s="17"/>
      <c r="Q65" s="17"/>
      <c r="R65" s="17"/>
      <c r="S65" s="17"/>
      <c r="T65" s="17"/>
      <c r="U65" s="17"/>
      <c r="V65" s="17"/>
      <c r="W65" s="17"/>
      <c r="X65" s="17"/>
      <c r="Y65" s="17"/>
      <c r="Z65" s="17"/>
      <c r="AA65" s="17"/>
      <c r="AB65" s="17"/>
      <c r="AC65" s="17"/>
      <c r="AD65" s="17"/>
    </row>
    <row r="66" spans="1:30" hidden="1" x14ac:dyDescent="0.25">
      <c r="A66" s="17"/>
      <c r="B66" s="17"/>
      <c r="C66" s="17"/>
      <c r="D66" s="17"/>
      <c r="E66" s="17"/>
      <c r="F66" s="17"/>
      <c r="G66" s="17"/>
      <c r="H66" s="17"/>
      <c r="I66" s="17"/>
      <c r="J66" s="17"/>
      <c r="K66" s="17"/>
      <c r="L66" s="93"/>
      <c r="M66" s="17"/>
      <c r="N66" s="17"/>
      <c r="O66" s="17"/>
      <c r="P66" s="17"/>
      <c r="Q66" s="17"/>
      <c r="R66" s="17"/>
      <c r="S66" s="17"/>
      <c r="T66" s="17"/>
      <c r="U66" s="17"/>
      <c r="V66" s="17"/>
      <c r="W66" s="17"/>
      <c r="X66" s="17"/>
      <c r="Y66" s="17"/>
      <c r="Z66" s="17"/>
      <c r="AA66" s="17"/>
      <c r="AB66" s="17"/>
      <c r="AC66" s="17"/>
      <c r="AD66" s="17"/>
    </row>
    <row r="67" spans="1:30" hidden="1" x14ac:dyDescent="0.25">
      <c r="A67" s="17"/>
      <c r="B67" s="17"/>
      <c r="C67" s="17"/>
      <c r="D67" s="17"/>
      <c r="E67" s="17"/>
      <c r="F67" s="17"/>
      <c r="G67" s="17"/>
      <c r="H67" s="17"/>
      <c r="I67" s="17"/>
      <c r="J67" s="17"/>
      <c r="K67" s="17"/>
      <c r="L67" s="17"/>
      <c r="M67" s="17"/>
      <c r="N67" s="17"/>
      <c r="O67" s="17"/>
      <c r="P67" s="17"/>
      <c r="Q67" s="17"/>
      <c r="R67" s="17"/>
      <c r="S67" s="17"/>
      <c r="T67" s="17"/>
      <c r="U67" s="17"/>
      <c r="V67" s="17"/>
      <c r="W67" s="17"/>
      <c r="X67" s="17"/>
      <c r="Y67" s="17"/>
      <c r="Z67" s="17"/>
      <c r="AA67" s="17"/>
      <c r="AB67" s="17"/>
      <c r="AC67" s="17"/>
      <c r="AD67" s="17"/>
    </row>
    <row r="68" spans="1:30" hidden="1" x14ac:dyDescent="0.25">
      <c r="A68" s="17"/>
      <c r="B68" s="17"/>
      <c r="C68" s="17"/>
      <c r="D68" s="17"/>
      <c r="E68" s="17"/>
      <c r="F68" s="17"/>
      <c r="G68" s="17"/>
      <c r="H68" s="17"/>
      <c r="I68" s="17"/>
      <c r="J68" s="17"/>
      <c r="K68" s="17"/>
      <c r="L68" s="17"/>
      <c r="M68" s="17"/>
      <c r="N68" s="17"/>
      <c r="O68" s="17"/>
      <c r="P68" s="17"/>
      <c r="Q68" s="17"/>
      <c r="R68" s="17"/>
      <c r="S68" s="17"/>
      <c r="T68" s="17"/>
      <c r="U68" s="17"/>
      <c r="V68" s="17"/>
      <c r="W68" s="17"/>
      <c r="X68" s="17"/>
      <c r="Y68" s="17"/>
      <c r="Z68" s="17"/>
      <c r="AA68" s="17"/>
      <c r="AB68" s="17"/>
      <c r="AC68" s="17"/>
      <c r="AD68" s="17"/>
    </row>
    <row r="69" spans="1:30" hidden="1" x14ac:dyDescent="0.25">
      <c r="A69" s="17"/>
      <c r="B69" s="17"/>
      <c r="C69" s="17"/>
      <c r="D69" s="17"/>
      <c r="E69" s="17"/>
      <c r="F69" s="17"/>
      <c r="G69" s="17"/>
      <c r="H69" s="17"/>
      <c r="I69" s="17"/>
      <c r="J69" s="17"/>
      <c r="K69" s="17"/>
      <c r="L69" s="17"/>
      <c r="M69" s="17"/>
      <c r="N69" s="17"/>
      <c r="O69" s="17"/>
      <c r="P69" s="17"/>
      <c r="Q69" s="17"/>
      <c r="R69" s="17"/>
      <c r="S69" s="17"/>
      <c r="T69" s="17"/>
      <c r="U69" s="17"/>
      <c r="V69" s="17"/>
      <c r="W69" s="17"/>
      <c r="X69" s="17"/>
      <c r="Y69" s="17"/>
      <c r="Z69" s="17"/>
      <c r="AA69" s="17"/>
      <c r="AB69" s="17"/>
      <c r="AC69" s="17"/>
      <c r="AD69" s="17"/>
    </row>
    <row r="70" spans="1:30" hidden="1" x14ac:dyDescent="0.25">
      <c r="A70" s="17"/>
      <c r="B70" s="17"/>
      <c r="C70" s="17"/>
      <c r="D70" s="17"/>
      <c r="E70" s="17"/>
      <c r="F70" s="17"/>
      <c r="G70" s="17"/>
      <c r="H70" s="17"/>
      <c r="I70" s="17"/>
      <c r="J70" s="17"/>
      <c r="K70" s="17"/>
      <c r="L70" s="17"/>
      <c r="M70" s="94"/>
      <c r="N70" s="17"/>
      <c r="O70" s="17"/>
      <c r="P70" s="17"/>
      <c r="Q70" s="17"/>
      <c r="R70" s="17"/>
      <c r="S70" s="17"/>
      <c r="T70" s="17"/>
      <c r="U70" s="17"/>
      <c r="V70" s="17"/>
      <c r="W70" s="17"/>
      <c r="X70" s="17"/>
      <c r="Y70" s="17"/>
      <c r="Z70" s="17"/>
      <c r="AA70" s="17"/>
      <c r="AB70" s="17"/>
      <c r="AC70" s="17"/>
      <c r="AD70" s="17"/>
    </row>
    <row r="71" spans="1:30" hidden="1" x14ac:dyDescent="0.25">
      <c r="A71" s="17"/>
      <c r="B71" s="17"/>
      <c r="C71" s="17"/>
      <c r="D71" s="17"/>
      <c r="E71" s="17"/>
      <c r="F71" s="17"/>
      <c r="G71" s="17"/>
      <c r="H71" s="17"/>
      <c r="I71" s="17"/>
      <c r="J71" s="17"/>
      <c r="K71" s="17"/>
      <c r="L71" s="17"/>
      <c r="M71" s="17"/>
      <c r="N71" s="17"/>
      <c r="O71" s="17"/>
      <c r="P71" s="17"/>
      <c r="Q71" s="17"/>
      <c r="R71" s="17"/>
      <c r="S71" s="17"/>
      <c r="T71" s="17"/>
      <c r="U71" s="17"/>
      <c r="V71" s="17"/>
      <c r="W71" s="17"/>
      <c r="X71" s="17"/>
      <c r="Y71" s="17"/>
      <c r="Z71" s="17"/>
      <c r="AA71" s="17"/>
      <c r="AB71" s="17"/>
      <c r="AC71" s="17"/>
      <c r="AD71" s="17"/>
    </row>
    <row r="72" spans="1:30" hidden="1" x14ac:dyDescent="0.25">
      <c r="A72" s="17"/>
      <c r="B72" s="17"/>
      <c r="C72" s="17"/>
      <c r="D72" s="17"/>
      <c r="E72" s="17"/>
      <c r="F72" s="17"/>
      <c r="G72" s="17"/>
      <c r="H72" s="17"/>
      <c r="I72" s="17"/>
      <c r="J72" s="17"/>
      <c r="K72" s="17"/>
      <c r="L72" s="17"/>
      <c r="M72" s="17"/>
      <c r="N72" s="92"/>
      <c r="O72" s="17"/>
      <c r="P72" s="17"/>
      <c r="Q72" s="17"/>
      <c r="R72" s="17"/>
      <c r="S72" s="17"/>
      <c r="T72" s="17"/>
      <c r="U72" s="17"/>
      <c r="V72" s="17"/>
      <c r="W72" s="17"/>
      <c r="X72" s="17"/>
      <c r="Y72" s="17"/>
      <c r="Z72" s="17"/>
      <c r="AA72" s="17"/>
      <c r="AB72" s="17"/>
      <c r="AC72" s="17"/>
      <c r="AD72" s="17"/>
    </row>
    <row r="73" spans="1:30" hidden="1" x14ac:dyDescent="0.25">
      <c r="A73" s="17"/>
      <c r="B73" s="17"/>
      <c r="C73" s="17"/>
      <c r="D73" s="17"/>
      <c r="E73" s="17"/>
      <c r="F73" s="17"/>
      <c r="G73" s="17"/>
      <c r="H73" s="17"/>
      <c r="I73" s="17"/>
      <c r="J73" s="17"/>
      <c r="K73" s="17"/>
      <c r="L73" s="17"/>
      <c r="M73" s="17"/>
      <c r="N73" s="17"/>
      <c r="O73" s="17"/>
      <c r="P73" s="92"/>
      <c r="Q73" s="17"/>
      <c r="R73" s="17"/>
      <c r="S73" s="17"/>
      <c r="T73" s="17"/>
      <c r="U73" s="17"/>
      <c r="V73" s="17"/>
      <c r="W73" s="17"/>
      <c r="X73" s="17"/>
      <c r="Y73" s="17"/>
      <c r="Z73" s="17"/>
      <c r="AA73" s="17"/>
      <c r="AB73" s="17"/>
      <c r="AC73" s="17"/>
      <c r="AD73" s="17"/>
    </row>
  </sheetData>
  <sheetProtection algorithmName="SHA-512" hashValue="p6Z1G4rLrG9HIkBFVFt/C1bzTkG1jQC/1EK6p0VgsUaX8AOjIMahCEVTYShSVHOXB7DIqjF/kVHl2/wfMZ888g==" saltValue="JphweN8afQz1QFb3PKG91w==" spinCount="100000" sheet="1" objects="1" scenarios="1" selectLockedCells="1"/>
  <customSheetViews>
    <customSheetView guid="{E7E6A24F-BA49-4C7A-9CED-3AB8F60308A1}" showPageBreaks="1" showGridLines="0" printArea="1">
      <selection activeCell="H46" sqref="H46"/>
      <rowBreaks count="1" manualBreakCount="1">
        <brk id="26" min="1" max="6" man="1"/>
      </rowBreaks>
      <pageMargins left="0.25" right="0.25" top="0.75" bottom="0.75" header="0.3" footer="0.3"/>
      <pageSetup paperSize="5" scale="96" orientation="landscape" verticalDpi="1200" r:id="rId1"/>
      <headerFooter>
        <oddFooter>&amp;C&amp;"Arial,Regular"&amp;12Page &amp;P of &amp;N</oddFooter>
      </headerFooter>
    </customSheetView>
    <customSheetView guid="{7E50CCF5-45D0-4F7B-8896-9BA64DCA8A01}" showGridLines="0">
      <selection activeCell="D7" sqref="D7"/>
      <rowBreaks count="1" manualBreakCount="1">
        <brk id="26" min="1" max="6" man="1"/>
      </rowBreaks>
      <pageMargins left="0.25" right="0.25" top="0.75" bottom="0.75" header="0.3" footer="0.3"/>
      <pageSetup paperSize="5" scale="96" orientation="landscape" verticalDpi="1200" r:id="rId2"/>
      <headerFooter>
        <oddFooter>&amp;C&amp;"Arial,Regular"&amp;12Page &amp;P of &amp;N</oddFooter>
      </headerFooter>
    </customSheetView>
    <customSheetView guid="{D8D3A042-2CA2-4641-BB44-BC182917D730}" showPageBreaks="1" showGridLines="0" printArea="1">
      <selection activeCell="J6" sqref="J6"/>
      <rowBreaks count="1" manualBreakCount="1">
        <brk id="26" min="1" max="6" man="1"/>
      </rowBreaks>
      <pageMargins left="0.25" right="0.25" top="0.75" bottom="0.75" header="0.3" footer="0.3"/>
      <pageSetup paperSize="5" scale="96" orientation="landscape" verticalDpi="1200" r:id="rId3"/>
      <headerFooter>
        <oddFooter>&amp;C&amp;"Arial,Regular"&amp;12Page &amp;P of &amp;N</oddFooter>
      </headerFooter>
    </customSheetView>
  </customSheetViews>
  <dataValidations count="3">
    <dataValidation type="list" allowBlank="1" showInputMessage="1" showErrorMessage="1" prompt="Select which Account type from the drop down list. " sqref="C13:C52" xr:uid="{00000000-0002-0000-1300-000000000000}">
      <formula1>"CSS, PEI, INN, WET, CFTN, Prudent Reserve"</formula1>
    </dataValidation>
    <dataValidation allowBlank="1" showInputMessage="1" showErrorMessage="1" prompt="Type in the Fiscal Year. " sqref="D13:D52" xr:uid="{00000000-0002-0000-1300-000001000000}"/>
    <dataValidation allowBlank="1" showInputMessage="1" showErrorMessage="1" prompt="Type in comments. " sqref="E13:E52" xr:uid="{00000000-0002-0000-1300-000002000000}"/>
  </dataValidations>
  <pageMargins left="0.25" right="0.25" top="0.75" bottom="0.75" header="0.3" footer="0.3"/>
  <pageSetup paperSize="5" scale="96" orientation="landscape" verticalDpi="1200" r:id="rId4"/>
  <headerFooter>
    <oddFooter>&amp;C&amp;"Arial,Regular"&amp;12Page &amp;P of &amp;N</oddFooter>
  </headerFooter>
  <rowBreaks count="1" manualBreakCount="1">
    <brk id="27" min="1" max="6"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15"/>
  <sheetViews>
    <sheetView workbookViewId="0">
      <selection activeCell="A6" sqref="A6"/>
    </sheetView>
  </sheetViews>
  <sheetFormatPr defaultColWidth="0" defaultRowHeight="14.4" zeroHeight="1" x14ac:dyDescent="0.3"/>
  <cols>
    <col min="1" max="1" width="128" style="171" customWidth="1"/>
    <col min="2" max="4" width="9.109375" style="171" hidden="1" customWidth="1"/>
    <col min="5" max="16384" width="9.109375" style="171" hidden="1"/>
  </cols>
  <sheetData>
    <row r="1" spans="1:1" ht="13.5" customHeight="1" x14ac:dyDescent="0.3">
      <c r="A1" s="211" t="s">
        <v>595</v>
      </c>
    </row>
    <row r="2" spans="1:1" ht="18" customHeight="1" x14ac:dyDescent="0.3">
      <c r="A2" s="172" t="s">
        <v>563</v>
      </c>
    </row>
    <row r="3" spans="1:1" ht="15.6" x14ac:dyDescent="0.3">
      <c r="A3" s="172" t="s">
        <v>564</v>
      </c>
    </row>
    <row r="4" spans="1:1" ht="30.6" x14ac:dyDescent="0.3">
      <c r="A4" s="172" t="s">
        <v>565</v>
      </c>
    </row>
    <row r="5" spans="1:1" ht="30.6" x14ac:dyDescent="0.3">
      <c r="A5" s="173" t="s">
        <v>566</v>
      </c>
    </row>
    <row r="6" spans="1:1" ht="30.6" x14ac:dyDescent="0.3">
      <c r="A6" s="173" t="s">
        <v>567</v>
      </c>
    </row>
    <row r="7" spans="1:1" ht="30.75" customHeight="1" x14ac:dyDescent="0.3">
      <c r="A7" s="173" t="s">
        <v>568</v>
      </c>
    </row>
    <row r="8" spans="1:1" ht="30.6" x14ac:dyDescent="0.3">
      <c r="A8" s="173" t="s">
        <v>569</v>
      </c>
    </row>
    <row r="9" spans="1:1" ht="45.6" x14ac:dyDescent="0.3">
      <c r="A9" s="173" t="s">
        <v>570</v>
      </c>
    </row>
    <row r="10" spans="1:1" ht="15.6" x14ac:dyDescent="0.3">
      <c r="A10" s="173" t="s">
        <v>571</v>
      </c>
    </row>
    <row r="11" spans="1:1" ht="15.6" x14ac:dyDescent="0.3">
      <c r="A11" s="173" t="s">
        <v>572</v>
      </c>
    </row>
    <row r="12" spans="1:1" ht="30.6" x14ac:dyDescent="0.3">
      <c r="A12" s="173" t="s">
        <v>573</v>
      </c>
    </row>
    <row r="13" spans="1:1" ht="30.6" x14ac:dyDescent="0.3">
      <c r="A13" s="173" t="s">
        <v>574</v>
      </c>
    </row>
    <row r="14" spans="1:1" ht="15.6" hidden="1" x14ac:dyDescent="0.3">
      <c r="A14" s="172"/>
    </row>
    <row r="15" spans="1:1" ht="15.6" hidden="1" x14ac:dyDescent="0.3">
      <c r="A15" s="172"/>
    </row>
  </sheetData>
  <sheetProtection algorithmName="SHA-512" hashValue="MmwiFiCriqBuSJm7u8GWaTFRfhn/NTw1AhUuwsbJMlTSMbijWN1KZeFUkrjXh9uaI2HOODSpf7ZBCPOrBzIoVg==" saltValue="FtAzNdek7k4UISjQmFk6iw==" spinCount="100000" sheet="1" objects="1" scenarios="1" selectLockedCells="1"/>
  <customSheetViews>
    <customSheetView guid="{D8D3A042-2CA2-4641-BB44-BC182917D730}">
      <selection activeCell="A19" sqref="A19"/>
      <pageMargins left="0.7" right="0.7" top="0.75" bottom="0.75" header="0.3" footer="0.3"/>
    </customSheetView>
  </customSheetView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A10"/>
  <sheetViews>
    <sheetView tabSelected="1" workbookViewId="0"/>
  </sheetViews>
  <sheetFormatPr defaultColWidth="0" defaultRowHeight="14.4" zeroHeight="1" x14ac:dyDescent="0.3"/>
  <cols>
    <col min="1" max="1" width="128" style="174" customWidth="1"/>
    <col min="2" max="16384" width="9.109375" style="174" hidden="1"/>
  </cols>
  <sheetData>
    <row r="1" spans="1:1" ht="13.5" customHeight="1" x14ac:dyDescent="0.3">
      <c r="A1" s="211" t="s">
        <v>596</v>
      </c>
    </row>
    <row r="2" spans="1:1" ht="15.6" x14ac:dyDescent="0.3">
      <c r="A2" s="172" t="s">
        <v>305</v>
      </c>
    </row>
    <row r="3" spans="1:1" ht="15.6" x14ac:dyDescent="0.3">
      <c r="A3" s="172" t="s">
        <v>304</v>
      </c>
    </row>
    <row r="4" spans="1:1" ht="15.6" x14ac:dyDescent="0.3">
      <c r="A4" s="172" t="s">
        <v>559</v>
      </c>
    </row>
    <row r="5" spans="1:1" ht="15.6" x14ac:dyDescent="0.3">
      <c r="A5" s="172" t="s">
        <v>560</v>
      </c>
    </row>
    <row r="6" spans="1:1" ht="15.6" x14ac:dyDescent="0.3">
      <c r="A6" s="172" t="s">
        <v>561</v>
      </c>
    </row>
    <row r="7" spans="1:1" ht="15.6" hidden="1" x14ac:dyDescent="0.3">
      <c r="A7" s="172"/>
    </row>
    <row r="8" spans="1:1" ht="15.6" hidden="1" x14ac:dyDescent="0.3">
      <c r="A8" s="172"/>
    </row>
    <row r="9" spans="1:1" ht="15.6" hidden="1" x14ac:dyDescent="0.3">
      <c r="A9" s="172"/>
    </row>
    <row r="10" spans="1:1" ht="15.6" hidden="1" x14ac:dyDescent="0.3">
      <c r="A10" s="173"/>
    </row>
  </sheetData>
  <sheetProtection algorithmName="SHA-512" hashValue="EwDFHuyv2nUidm9Q4pA+gDtwHyN0Rpl7Lg7nDIg781/rg6lf4MgMremVq5KRuXxcRIaWz1nlw6LBqz2nC5BZOw==" saltValue="/fsSILB+eB6QOWh7MVMblA==" spinCount="100000" sheet="1" objects="1" scenarios="1" selectLockedCells="1"/>
  <pageMargins left="0.7" right="0.7" top="0.75" bottom="0.75" header="0.3" footer="0.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I64"/>
  <sheetViews>
    <sheetView zoomScaleNormal="100" workbookViewId="0">
      <selection activeCell="I10" sqref="I10"/>
    </sheetView>
  </sheetViews>
  <sheetFormatPr defaultColWidth="9.109375" defaultRowHeight="15" x14ac:dyDescent="0.25"/>
  <cols>
    <col min="1" max="1" width="14.88671875" style="101" bestFit="1" customWidth="1"/>
    <col min="2" max="3" width="22.109375" style="101" bestFit="1" customWidth="1"/>
    <col min="4" max="4" width="20.109375" style="101" bestFit="1" customWidth="1"/>
    <col min="5" max="5" width="18.88671875" style="101" bestFit="1" customWidth="1"/>
    <col min="6" max="6" width="3.88671875" style="101" customWidth="1"/>
    <col min="7" max="7" width="34.6640625" style="101" customWidth="1"/>
    <col min="8" max="8" width="17.6640625" style="101" customWidth="1"/>
    <col min="9" max="9" width="12" style="101" customWidth="1"/>
    <col min="10" max="16384" width="9.109375" style="101"/>
  </cols>
  <sheetData>
    <row r="1" spans="1:9" ht="15.6" x14ac:dyDescent="0.3">
      <c r="A1" s="6" t="s">
        <v>250</v>
      </c>
    </row>
    <row r="2" spans="1:9" ht="15.6" x14ac:dyDescent="0.3">
      <c r="A2" s="6" t="s">
        <v>248</v>
      </c>
    </row>
    <row r="3" spans="1:9" ht="15.6" x14ac:dyDescent="0.3">
      <c r="A3" s="6"/>
      <c r="C3" s="111" t="s">
        <v>251</v>
      </c>
      <c r="D3" s="111" t="s">
        <v>252</v>
      </c>
      <c r="E3" s="111" t="s">
        <v>253</v>
      </c>
      <c r="F3" s="111"/>
      <c r="G3" s="114" t="s">
        <v>254</v>
      </c>
      <c r="H3" s="115" t="str">
        <f>'1. Information'!D11</f>
        <v>Marin</v>
      </c>
    </row>
    <row r="4" spans="1:9" ht="15.6" x14ac:dyDescent="0.3">
      <c r="A4" s="112" t="s">
        <v>9</v>
      </c>
      <c r="B4" s="112" t="s">
        <v>21</v>
      </c>
      <c r="C4" s="112" t="s">
        <v>26</v>
      </c>
      <c r="D4" s="112" t="s">
        <v>27</v>
      </c>
      <c r="E4" s="112" t="s">
        <v>28</v>
      </c>
      <c r="F4" s="112"/>
      <c r="H4" s="112"/>
    </row>
    <row r="5" spans="1:9" ht="15.6" x14ac:dyDescent="0.3">
      <c r="A5" s="101" t="s">
        <v>34</v>
      </c>
      <c r="B5" s="113">
        <v>70551654.329999998</v>
      </c>
      <c r="C5" s="113">
        <f>B5*0.76</f>
        <v>53619257.290799998</v>
      </c>
      <c r="D5" s="113">
        <f>B5*0.19</f>
        <v>13404814.322699999</v>
      </c>
      <c r="E5" s="113">
        <f>B5*0.05</f>
        <v>3527582.7165000001</v>
      </c>
      <c r="F5" s="113"/>
      <c r="G5" s="112" t="s">
        <v>258</v>
      </c>
      <c r="H5" s="112" t="s">
        <v>259</v>
      </c>
      <c r="I5" s="6" t="s">
        <v>260</v>
      </c>
    </row>
    <row r="6" spans="1:9" x14ac:dyDescent="0.25">
      <c r="A6" s="101" t="s">
        <v>91</v>
      </c>
      <c r="B6" s="113">
        <v>1499512.8499999999</v>
      </c>
      <c r="C6" s="113">
        <f t="shared" ref="C6:C63" si="0">B6*0.76</f>
        <v>1139629.7659999998</v>
      </c>
      <c r="D6" s="113">
        <f t="shared" ref="D6:D63" si="1">B6*0.19</f>
        <v>284907.44149999996</v>
      </c>
      <c r="E6" s="113">
        <f t="shared" ref="E6:E63" si="2">B6*0.05</f>
        <v>74975.642500000002</v>
      </c>
      <c r="F6" s="113"/>
      <c r="G6" s="117" t="s">
        <v>257</v>
      </c>
      <c r="H6" s="116" t="str">
        <f>IF(SUM('2. Component Summary'!D27:H27)='2. Component Summary'!I27,"OK","ERROR")</f>
        <v>OK</v>
      </c>
      <c r="I6" s="101" t="s">
        <v>256</v>
      </c>
    </row>
    <row r="7" spans="1:9" x14ac:dyDescent="0.25">
      <c r="A7" s="101" t="s">
        <v>35</v>
      </c>
      <c r="B7" s="113">
        <v>2931915.6899999995</v>
      </c>
      <c r="C7" s="113">
        <f t="shared" si="0"/>
        <v>2228255.9243999994</v>
      </c>
      <c r="D7" s="113">
        <f t="shared" si="1"/>
        <v>557063.98109999986</v>
      </c>
      <c r="E7" s="113">
        <f t="shared" si="2"/>
        <v>146595.78449999998</v>
      </c>
      <c r="F7" s="113"/>
      <c r="G7" s="117" t="s">
        <v>261</v>
      </c>
      <c r="H7" s="116" t="str">
        <f>IF('2. Component Summary'!D40*0.05&gt;VLOOKUP(H3,SCO_Distribution,2,FALSE),"ERROR","OK")</f>
        <v>OK</v>
      </c>
      <c r="I7" s="97" t="s">
        <v>263</v>
      </c>
    </row>
    <row r="8" spans="1:9" x14ac:dyDescent="0.25">
      <c r="A8" s="101" t="s">
        <v>249</v>
      </c>
      <c r="B8" s="113">
        <v>5994545.0099999988</v>
      </c>
      <c r="C8" s="113">
        <f t="shared" si="0"/>
        <v>4555854.2075999994</v>
      </c>
      <c r="D8" s="113">
        <f t="shared" si="1"/>
        <v>1138963.5518999998</v>
      </c>
      <c r="E8" s="113">
        <f t="shared" si="2"/>
        <v>299727.25049999997</v>
      </c>
      <c r="F8" s="113"/>
      <c r="G8" s="117" t="s">
        <v>262</v>
      </c>
      <c r="H8" s="116" t="str">
        <f>IF(ISBLANK('2. Component Summary'!#REF!),"ERROR","OK")</f>
        <v>OK</v>
      </c>
      <c r="I8" s="96" t="s">
        <v>255</v>
      </c>
    </row>
    <row r="9" spans="1:9" x14ac:dyDescent="0.25">
      <c r="A9" s="101" t="s">
        <v>37</v>
      </c>
      <c r="B9" s="113">
        <v>11405471.799999999</v>
      </c>
      <c r="C9" s="113">
        <f t="shared" si="0"/>
        <v>8668158.568</v>
      </c>
      <c r="D9" s="113">
        <f t="shared" si="1"/>
        <v>2167039.642</v>
      </c>
      <c r="E9" s="113">
        <f t="shared" si="2"/>
        <v>570273.59</v>
      </c>
      <c r="F9" s="113"/>
      <c r="G9" s="117" t="s">
        <v>264</v>
      </c>
      <c r="H9" s="116" t="str">
        <f>IF(ISBLANK('2. Component Summary'!I14),"ERROR","OK")</f>
        <v>OK</v>
      </c>
      <c r="I9" s="101" t="s">
        <v>265</v>
      </c>
    </row>
    <row r="10" spans="1:9" x14ac:dyDescent="0.25">
      <c r="A10" s="101" t="s">
        <v>38</v>
      </c>
      <c r="B10" s="113">
        <v>3208867.31</v>
      </c>
      <c r="C10" s="113">
        <f t="shared" si="0"/>
        <v>2438739.1556000002</v>
      </c>
      <c r="D10" s="113">
        <f t="shared" si="1"/>
        <v>609684.78890000004</v>
      </c>
      <c r="E10" s="113">
        <f t="shared" si="2"/>
        <v>160443.36550000001</v>
      </c>
      <c r="F10" s="113"/>
      <c r="G10" s="117" t="s">
        <v>266</v>
      </c>
      <c r="H10" s="116" t="str">
        <f>IF(ISBLANK('2. Component Summary'!F19),"ERROR","OK")</f>
        <v>OK</v>
      </c>
      <c r="I10" s="101" t="s">
        <v>267</v>
      </c>
    </row>
    <row r="11" spans="1:9" x14ac:dyDescent="0.25">
      <c r="A11" s="101" t="s">
        <v>39</v>
      </c>
      <c r="B11" s="113">
        <v>2568596.2199999997</v>
      </c>
      <c r="C11" s="113">
        <f t="shared" si="0"/>
        <v>1952133.1271999998</v>
      </c>
      <c r="D11" s="113">
        <f t="shared" si="1"/>
        <v>488033.28179999994</v>
      </c>
      <c r="E11" s="113">
        <f t="shared" si="2"/>
        <v>128429.81099999999</v>
      </c>
      <c r="F11" s="113"/>
    </row>
    <row r="12" spans="1:9" x14ac:dyDescent="0.25">
      <c r="A12" s="101" t="s">
        <v>40</v>
      </c>
      <c r="B12" s="113">
        <v>45360350.140000008</v>
      </c>
      <c r="C12" s="113">
        <f t="shared" si="0"/>
        <v>34473866.106400006</v>
      </c>
      <c r="D12" s="113">
        <f t="shared" si="1"/>
        <v>8618466.5266000014</v>
      </c>
      <c r="E12" s="113">
        <f t="shared" si="2"/>
        <v>2268017.5070000007</v>
      </c>
      <c r="F12" s="113"/>
    </row>
    <row r="13" spans="1:9" x14ac:dyDescent="0.25">
      <c r="A13" s="101" t="s">
        <v>41</v>
      </c>
      <c r="B13" s="113">
        <v>2728833.71</v>
      </c>
      <c r="C13" s="113">
        <f t="shared" si="0"/>
        <v>2073913.6196000001</v>
      </c>
      <c r="D13" s="113">
        <f t="shared" si="1"/>
        <v>518478.40490000002</v>
      </c>
      <c r="E13" s="113">
        <f t="shared" si="2"/>
        <v>136441.68549999999</v>
      </c>
      <c r="F13" s="113"/>
    </row>
    <row r="14" spans="1:9" x14ac:dyDescent="0.25">
      <c r="A14" s="101" t="s">
        <v>42</v>
      </c>
      <c r="B14" s="113">
        <v>7928641.3099999987</v>
      </c>
      <c r="C14" s="113">
        <f t="shared" si="0"/>
        <v>6025767.3955999995</v>
      </c>
      <c r="D14" s="113">
        <f t="shared" si="1"/>
        <v>1506441.8488999999</v>
      </c>
      <c r="E14" s="113">
        <f t="shared" si="2"/>
        <v>396432.06549999997</v>
      </c>
      <c r="F14" s="113"/>
    </row>
    <row r="15" spans="1:9" x14ac:dyDescent="0.25">
      <c r="A15" s="101" t="s">
        <v>43</v>
      </c>
      <c r="B15" s="113">
        <v>49459289.239999995</v>
      </c>
      <c r="C15" s="113">
        <f t="shared" si="0"/>
        <v>37589059.822399996</v>
      </c>
      <c r="D15" s="113">
        <f t="shared" si="1"/>
        <v>9397264.9555999991</v>
      </c>
      <c r="E15" s="113">
        <f t="shared" si="2"/>
        <v>2472964.4619999998</v>
      </c>
      <c r="F15" s="113"/>
    </row>
    <row r="16" spans="1:9" x14ac:dyDescent="0.25">
      <c r="A16" s="101" t="s">
        <v>44</v>
      </c>
      <c r="B16" s="113">
        <v>2777161.3</v>
      </c>
      <c r="C16" s="113">
        <f t="shared" si="0"/>
        <v>2110642.588</v>
      </c>
      <c r="D16" s="113">
        <f t="shared" si="1"/>
        <v>527660.647</v>
      </c>
      <c r="E16" s="113">
        <f t="shared" si="2"/>
        <v>138858.065</v>
      </c>
      <c r="F16" s="113"/>
    </row>
    <row r="17" spans="1:6" x14ac:dyDescent="0.25">
      <c r="A17" s="101" t="s">
        <v>45</v>
      </c>
      <c r="B17" s="113">
        <v>7058805.6600000011</v>
      </c>
      <c r="C17" s="113">
        <f t="shared" si="0"/>
        <v>5364692.3016000008</v>
      </c>
      <c r="D17" s="113">
        <f t="shared" si="1"/>
        <v>1341173.0754000002</v>
      </c>
      <c r="E17" s="113">
        <f t="shared" si="2"/>
        <v>352940.28300000005</v>
      </c>
      <c r="F17" s="113"/>
    </row>
    <row r="18" spans="1:6" x14ac:dyDescent="0.25">
      <c r="A18" s="101" t="s">
        <v>46</v>
      </c>
      <c r="B18" s="113">
        <v>9759832.0800000001</v>
      </c>
      <c r="C18" s="113">
        <f t="shared" si="0"/>
        <v>7417472.3808000004</v>
      </c>
      <c r="D18" s="113">
        <f t="shared" si="1"/>
        <v>1854368.0952000001</v>
      </c>
      <c r="E18" s="113">
        <f t="shared" si="2"/>
        <v>487991.60400000005</v>
      </c>
      <c r="F18" s="113"/>
    </row>
    <row r="19" spans="1:6" x14ac:dyDescent="0.25">
      <c r="A19" s="101" t="s">
        <v>47</v>
      </c>
      <c r="B19" s="113">
        <v>1843374.33</v>
      </c>
      <c r="C19" s="113">
        <f t="shared" si="0"/>
        <v>1400964.4908</v>
      </c>
      <c r="D19" s="113">
        <f t="shared" si="1"/>
        <v>350241.12270000001</v>
      </c>
      <c r="E19" s="113">
        <f t="shared" si="2"/>
        <v>92168.71650000001</v>
      </c>
      <c r="F19" s="113"/>
    </row>
    <row r="20" spans="1:6" x14ac:dyDescent="0.25">
      <c r="A20" s="101" t="s">
        <v>48</v>
      </c>
      <c r="B20" s="113">
        <v>42775932.490000002</v>
      </c>
      <c r="C20" s="113">
        <f t="shared" si="0"/>
        <v>32509708.692400001</v>
      </c>
      <c r="D20" s="113">
        <f t="shared" si="1"/>
        <v>8127427.1731000002</v>
      </c>
      <c r="E20" s="113">
        <f t="shared" si="2"/>
        <v>2138796.6245000004</v>
      </c>
      <c r="F20" s="113"/>
    </row>
    <row r="21" spans="1:6" x14ac:dyDescent="0.25">
      <c r="A21" s="101" t="s">
        <v>49</v>
      </c>
      <c r="B21" s="113">
        <v>8142509.4199999999</v>
      </c>
      <c r="C21" s="113">
        <f t="shared" si="0"/>
        <v>6188307.1591999996</v>
      </c>
      <c r="D21" s="113">
        <f t="shared" si="1"/>
        <v>1547076.7897999999</v>
      </c>
      <c r="E21" s="113">
        <f t="shared" si="2"/>
        <v>407125.47100000002</v>
      </c>
      <c r="F21" s="113"/>
    </row>
    <row r="22" spans="1:6" x14ac:dyDescent="0.25">
      <c r="A22" s="101" t="s">
        <v>50</v>
      </c>
      <c r="B22" s="113">
        <v>3954947.83</v>
      </c>
      <c r="C22" s="113">
        <f t="shared" si="0"/>
        <v>3005760.3508000001</v>
      </c>
      <c r="D22" s="113">
        <f t="shared" si="1"/>
        <v>751440.08770000003</v>
      </c>
      <c r="E22" s="113">
        <f t="shared" si="2"/>
        <v>197747.39150000003</v>
      </c>
      <c r="F22" s="113"/>
    </row>
    <row r="23" spans="1:6" x14ac:dyDescent="0.25">
      <c r="A23" s="101" t="s">
        <v>51</v>
      </c>
      <c r="B23" s="113">
        <v>2718985.63</v>
      </c>
      <c r="C23" s="113">
        <f t="shared" si="0"/>
        <v>2066429.0788</v>
      </c>
      <c r="D23" s="113">
        <f t="shared" si="1"/>
        <v>516607.2697</v>
      </c>
      <c r="E23" s="113">
        <f t="shared" si="2"/>
        <v>135949.28150000001</v>
      </c>
      <c r="F23" s="113"/>
    </row>
    <row r="24" spans="1:6" x14ac:dyDescent="0.25">
      <c r="A24" s="101" t="s">
        <v>52</v>
      </c>
      <c r="B24" s="113">
        <v>562799427.95000005</v>
      </c>
      <c r="C24" s="113">
        <f t="shared" si="0"/>
        <v>427727565.24200004</v>
      </c>
      <c r="D24" s="113">
        <f t="shared" si="1"/>
        <v>106931891.31050001</v>
      </c>
      <c r="E24" s="113">
        <f t="shared" si="2"/>
        <v>28139971.397500005</v>
      </c>
      <c r="F24" s="113"/>
    </row>
    <row r="25" spans="1:6" x14ac:dyDescent="0.25">
      <c r="A25" s="101" t="s">
        <v>53</v>
      </c>
      <c r="B25" s="113">
        <v>8618217.0300000012</v>
      </c>
      <c r="C25" s="113">
        <f t="shared" si="0"/>
        <v>6549844.9428000012</v>
      </c>
      <c r="D25" s="113">
        <f t="shared" si="1"/>
        <v>1637461.2357000003</v>
      </c>
      <c r="E25" s="113">
        <f t="shared" si="2"/>
        <v>430910.85150000011</v>
      </c>
      <c r="F25" s="113"/>
    </row>
    <row r="26" spans="1:6" x14ac:dyDescent="0.25">
      <c r="A26" s="101" t="s">
        <v>54</v>
      </c>
      <c r="B26" s="113">
        <v>11207287.699999999</v>
      </c>
      <c r="C26" s="113">
        <f t="shared" si="0"/>
        <v>8517538.6519999988</v>
      </c>
      <c r="D26" s="113">
        <f t="shared" si="1"/>
        <v>2129384.6629999997</v>
      </c>
      <c r="E26" s="113">
        <f t="shared" si="2"/>
        <v>560364.38500000001</v>
      </c>
      <c r="F26" s="113"/>
    </row>
    <row r="27" spans="1:6" x14ac:dyDescent="0.25">
      <c r="A27" s="101" t="s">
        <v>55</v>
      </c>
      <c r="B27" s="113">
        <v>1848530.92</v>
      </c>
      <c r="C27" s="113">
        <f t="shared" si="0"/>
        <v>1404883.4992</v>
      </c>
      <c r="D27" s="113">
        <f t="shared" si="1"/>
        <v>351220.87479999999</v>
      </c>
      <c r="E27" s="113">
        <f t="shared" si="2"/>
        <v>92426.546000000002</v>
      </c>
      <c r="F27" s="113"/>
    </row>
    <row r="28" spans="1:6" x14ac:dyDescent="0.25">
      <c r="A28" s="101" t="s">
        <v>56</v>
      </c>
      <c r="B28" s="113">
        <v>4823051.5200000005</v>
      </c>
      <c r="C28" s="113">
        <f t="shared" si="0"/>
        <v>3665519.1552000004</v>
      </c>
      <c r="D28" s="113">
        <f t="shared" si="1"/>
        <v>916379.7888000001</v>
      </c>
      <c r="E28" s="113">
        <f t="shared" si="2"/>
        <v>241152.57600000003</v>
      </c>
      <c r="F28" s="113"/>
    </row>
    <row r="29" spans="1:6" x14ac:dyDescent="0.25">
      <c r="A29" s="101" t="s">
        <v>57</v>
      </c>
      <c r="B29" s="113">
        <v>14640569.48</v>
      </c>
      <c r="C29" s="113">
        <f t="shared" si="0"/>
        <v>11126832.8048</v>
      </c>
      <c r="D29" s="113">
        <f t="shared" si="1"/>
        <v>2781708.2012</v>
      </c>
      <c r="E29" s="113">
        <f t="shared" si="2"/>
        <v>732028.47400000005</v>
      </c>
      <c r="F29" s="113"/>
    </row>
    <row r="30" spans="1:6" x14ac:dyDescent="0.25">
      <c r="A30" s="101" t="s">
        <v>58</v>
      </c>
      <c r="B30" s="113">
        <v>1685960.2599999998</v>
      </c>
      <c r="C30" s="113">
        <f t="shared" si="0"/>
        <v>1281329.7975999999</v>
      </c>
      <c r="D30" s="113">
        <f t="shared" si="1"/>
        <v>320332.44939999998</v>
      </c>
      <c r="E30" s="113">
        <f t="shared" si="2"/>
        <v>84298.012999999992</v>
      </c>
      <c r="F30" s="113"/>
    </row>
    <row r="31" spans="1:6" x14ac:dyDescent="0.25">
      <c r="A31" s="101" t="s">
        <v>59</v>
      </c>
      <c r="B31" s="113">
        <v>1795078.7</v>
      </c>
      <c r="C31" s="113">
        <f t="shared" si="0"/>
        <v>1364259.8119999999</v>
      </c>
      <c r="D31" s="113">
        <f t="shared" si="1"/>
        <v>341064.95299999998</v>
      </c>
      <c r="E31" s="113">
        <f t="shared" si="2"/>
        <v>89753.934999999998</v>
      </c>
      <c r="F31" s="113"/>
    </row>
    <row r="32" spans="1:6" x14ac:dyDescent="0.25">
      <c r="A32" s="101" t="s">
        <v>60</v>
      </c>
      <c r="B32" s="113">
        <v>23244033.949999992</v>
      </c>
      <c r="C32" s="113">
        <f t="shared" si="0"/>
        <v>17665465.801999994</v>
      </c>
      <c r="D32" s="113">
        <f t="shared" si="1"/>
        <v>4416366.4504999984</v>
      </c>
      <c r="E32" s="113">
        <f t="shared" si="2"/>
        <v>1162201.6974999995</v>
      </c>
      <c r="F32" s="113"/>
    </row>
    <row r="33" spans="1:6" x14ac:dyDescent="0.25">
      <c r="A33" s="101" t="s">
        <v>61</v>
      </c>
      <c r="B33" s="113">
        <v>6536717.3899999997</v>
      </c>
      <c r="C33" s="113">
        <f t="shared" si="0"/>
        <v>4967905.2164000003</v>
      </c>
      <c r="D33" s="113">
        <f t="shared" si="1"/>
        <v>1241976.3041000001</v>
      </c>
      <c r="E33" s="113">
        <f t="shared" si="2"/>
        <v>326835.86950000003</v>
      </c>
      <c r="F33" s="113"/>
    </row>
    <row r="34" spans="1:6" x14ac:dyDescent="0.25">
      <c r="A34" s="101" t="s">
        <v>62</v>
      </c>
      <c r="B34" s="113">
        <v>5205259.92</v>
      </c>
      <c r="C34" s="113">
        <f t="shared" si="0"/>
        <v>3955997.5392</v>
      </c>
      <c r="D34" s="113">
        <f t="shared" si="1"/>
        <v>988999.3848</v>
      </c>
      <c r="E34" s="113">
        <f t="shared" si="2"/>
        <v>260262.99600000001</v>
      </c>
      <c r="F34" s="113"/>
    </row>
    <row r="35" spans="1:6" x14ac:dyDescent="0.25">
      <c r="A35" s="101" t="s">
        <v>63</v>
      </c>
      <c r="B35" s="113">
        <v>161768522.68000001</v>
      </c>
      <c r="C35" s="113">
        <f t="shared" si="0"/>
        <v>122944077.2368</v>
      </c>
      <c r="D35" s="113">
        <f t="shared" si="1"/>
        <v>30736019.3092</v>
      </c>
      <c r="E35" s="113">
        <f t="shared" si="2"/>
        <v>8088426.1340000005</v>
      </c>
      <c r="F35" s="113"/>
    </row>
    <row r="36" spans="1:6" x14ac:dyDescent="0.25">
      <c r="A36" s="101" t="s">
        <v>64</v>
      </c>
      <c r="B36" s="113">
        <v>13984445.129999997</v>
      </c>
      <c r="C36" s="113">
        <f t="shared" si="0"/>
        <v>10628178.298799997</v>
      </c>
      <c r="D36" s="113">
        <f t="shared" si="1"/>
        <v>2657044.5746999993</v>
      </c>
      <c r="E36" s="113">
        <f t="shared" si="2"/>
        <v>699222.2564999999</v>
      </c>
      <c r="F36" s="113"/>
    </row>
    <row r="37" spans="1:6" x14ac:dyDescent="0.25">
      <c r="A37" s="101" t="s">
        <v>65</v>
      </c>
      <c r="B37" s="113">
        <v>2467653.1999999997</v>
      </c>
      <c r="C37" s="113">
        <f t="shared" si="0"/>
        <v>1875416.4319999998</v>
      </c>
      <c r="D37" s="113">
        <f t="shared" si="1"/>
        <v>468854.10799999995</v>
      </c>
      <c r="E37" s="113">
        <f t="shared" si="2"/>
        <v>123382.65999999999</v>
      </c>
      <c r="F37" s="113"/>
    </row>
    <row r="38" spans="1:6" x14ac:dyDescent="0.25">
      <c r="A38" s="101" t="s">
        <v>66</v>
      </c>
      <c r="B38" s="113">
        <v>107758676.78999998</v>
      </c>
      <c r="C38" s="113">
        <f t="shared" si="0"/>
        <v>81896594.360399976</v>
      </c>
      <c r="D38" s="113">
        <f t="shared" si="1"/>
        <v>20474148.590099994</v>
      </c>
      <c r="E38" s="113">
        <f t="shared" si="2"/>
        <v>5387933.8394999988</v>
      </c>
      <c r="F38" s="113"/>
    </row>
    <row r="39" spans="1:6" x14ac:dyDescent="0.25">
      <c r="A39" s="101" t="s">
        <v>67</v>
      </c>
      <c r="B39" s="113">
        <v>64816236.610000007</v>
      </c>
      <c r="C39" s="113">
        <f t="shared" si="0"/>
        <v>49260339.823600009</v>
      </c>
      <c r="D39" s="113">
        <f t="shared" si="1"/>
        <v>12315084.955900002</v>
      </c>
      <c r="E39" s="113">
        <f t="shared" si="2"/>
        <v>3240811.8305000006</v>
      </c>
      <c r="F39" s="113"/>
    </row>
    <row r="40" spans="1:6" x14ac:dyDescent="0.25">
      <c r="A40" s="101" t="s">
        <v>68</v>
      </c>
      <c r="B40" s="113">
        <v>3734424.29</v>
      </c>
      <c r="C40" s="113">
        <f t="shared" si="0"/>
        <v>2838162.4604000002</v>
      </c>
      <c r="D40" s="113">
        <f t="shared" si="1"/>
        <v>709540.61510000005</v>
      </c>
      <c r="E40" s="113">
        <f t="shared" si="2"/>
        <v>186721.2145</v>
      </c>
      <c r="F40" s="113"/>
    </row>
    <row r="41" spans="1:6" x14ac:dyDescent="0.25">
      <c r="A41" s="101" t="s">
        <v>69</v>
      </c>
      <c r="B41" s="113">
        <v>105985451.15000001</v>
      </c>
      <c r="C41" s="113">
        <f t="shared" si="0"/>
        <v>80548942.874000013</v>
      </c>
      <c r="D41" s="113">
        <f t="shared" si="1"/>
        <v>20137235.718500003</v>
      </c>
      <c r="E41" s="113">
        <f t="shared" si="2"/>
        <v>5299272.557500001</v>
      </c>
      <c r="F41" s="113"/>
    </row>
    <row r="42" spans="1:6" x14ac:dyDescent="0.25">
      <c r="A42" s="101" t="s">
        <v>70</v>
      </c>
      <c r="B42" s="113">
        <v>162263869.34999999</v>
      </c>
      <c r="C42" s="113">
        <f t="shared" si="0"/>
        <v>123320540.706</v>
      </c>
      <c r="D42" s="113">
        <f t="shared" si="1"/>
        <v>30830135.1765</v>
      </c>
      <c r="E42" s="113">
        <f t="shared" si="2"/>
        <v>8113193.4675000003</v>
      </c>
      <c r="F42" s="113"/>
    </row>
    <row r="43" spans="1:6" x14ac:dyDescent="0.25">
      <c r="A43" s="101" t="s">
        <v>71</v>
      </c>
      <c r="B43" s="113">
        <v>36784240.540000007</v>
      </c>
      <c r="C43" s="113">
        <f t="shared" si="0"/>
        <v>27956022.810400005</v>
      </c>
      <c r="D43" s="113">
        <f t="shared" si="1"/>
        <v>6989005.7026000014</v>
      </c>
      <c r="E43" s="113">
        <f t="shared" si="2"/>
        <v>1839212.0270000005</v>
      </c>
      <c r="F43" s="113"/>
    </row>
    <row r="44" spans="1:6" x14ac:dyDescent="0.25">
      <c r="A44" s="101" t="s">
        <v>72</v>
      </c>
      <c r="B44" s="113">
        <v>34063364.469999999</v>
      </c>
      <c r="C44" s="113">
        <f t="shared" si="0"/>
        <v>25888156.997200001</v>
      </c>
      <c r="D44" s="113">
        <f t="shared" si="1"/>
        <v>6472039.2493000003</v>
      </c>
      <c r="E44" s="113">
        <f t="shared" si="2"/>
        <v>1703168.2235000001</v>
      </c>
      <c r="F44" s="113"/>
    </row>
    <row r="45" spans="1:6" x14ac:dyDescent="0.25">
      <c r="A45" s="101" t="s">
        <v>73</v>
      </c>
      <c r="B45" s="113">
        <v>13341171.349999998</v>
      </c>
      <c r="C45" s="113">
        <f t="shared" si="0"/>
        <v>10139290.225999998</v>
      </c>
      <c r="D45" s="113">
        <f t="shared" si="1"/>
        <v>2534822.5564999995</v>
      </c>
      <c r="E45" s="113">
        <f t="shared" si="2"/>
        <v>667058.56749999989</v>
      </c>
      <c r="F45" s="113"/>
    </row>
    <row r="46" spans="1:6" x14ac:dyDescent="0.25">
      <c r="A46" s="101" t="s">
        <v>74</v>
      </c>
      <c r="B46" s="113">
        <v>32446715.590000004</v>
      </c>
      <c r="C46" s="113">
        <f t="shared" si="0"/>
        <v>24659503.848400004</v>
      </c>
      <c r="D46" s="113">
        <f t="shared" si="1"/>
        <v>6164875.9621000011</v>
      </c>
      <c r="E46" s="113">
        <f t="shared" si="2"/>
        <v>1622335.7795000002</v>
      </c>
      <c r="F46" s="113"/>
    </row>
    <row r="47" spans="1:6" x14ac:dyDescent="0.25">
      <c r="A47" s="101" t="s">
        <v>75</v>
      </c>
      <c r="B47" s="113">
        <v>22984920.520000003</v>
      </c>
      <c r="C47" s="113">
        <f t="shared" si="0"/>
        <v>17468539.595200002</v>
      </c>
      <c r="D47" s="113">
        <f t="shared" si="1"/>
        <v>4367134.8988000005</v>
      </c>
      <c r="E47" s="113">
        <f t="shared" si="2"/>
        <v>1149246.0260000003</v>
      </c>
      <c r="F47" s="113"/>
    </row>
    <row r="48" spans="1:6" x14ac:dyDescent="0.25">
      <c r="A48" s="101" t="s">
        <v>76</v>
      </c>
      <c r="B48" s="113">
        <v>89754925.079999998</v>
      </c>
      <c r="C48" s="113">
        <f t="shared" si="0"/>
        <v>68213743.060800001</v>
      </c>
      <c r="D48" s="113">
        <f t="shared" si="1"/>
        <v>17053435.7652</v>
      </c>
      <c r="E48" s="113">
        <f t="shared" si="2"/>
        <v>4487746.2539999997</v>
      </c>
      <c r="F48" s="113"/>
    </row>
    <row r="49" spans="1:6" x14ac:dyDescent="0.25">
      <c r="A49" s="101" t="s">
        <v>77</v>
      </c>
      <c r="B49" s="113">
        <v>14340650.48</v>
      </c>
      <c r="C49" s="113">
        <f t="shared" si="0"/>
        <v>10898894.364800001</v>
      </c>
      <c r="D49" s="113">
        <f t="shared" si="1"/>
        <v>2724723.5912000001</v>
      </c>
      <c r="E49" s="113">
        <f t="shared" si="2"/>
        <v>717032.52400000009</v>
      </c>
      <c r="F49" s="113"/>
    </row>
    <row r="50" spans="1:6" x14ac:dyDescent="0.25">
      <c r="A50" s="101" t="s">
        <v>78</v>
      </c>
      <c r="B50" s="113">
        <v>9451466.3299999982</v>
      </c>
      <c r="C50" s="113">
        <f t="shared" si="0"/>
        <v>7183114.4107999988</v>
      </c>
      <c r="D50" s="113">
        <f t="shared" si="1"/>
        <v>1795778.6026999997</v>
      </c>
      <c r="E50" s="113">
        <f t="shared" si="2"/>
        <v>472573.31649999996</v>
      </c>
      <c r="F50" s="113"/>
    </row>
    <row r="51" spans="1:6" x14ac:dyDescent="0.25">
      <c r="A51" s="101" t="s">
        <v>79</v>
      </c>
      <c r="B51" s="113">
        <v>1543875.5100000002</v>
      </c>
      <c r="C51" s="113">
        <f t="shared" si="0"/>
        <v>1173345.3876000002</v>
      </c>
      <c r="D51" s="113">
        <f t="shared" si="1"/>
        <v>293336.34690000006</v>
      </c>
      <c r="E51" s="113">
        <f t="shared" si="2"/>
        <v>77193.775500000018</v>
      </c>
      <c r="F51" s="113"/>
    </row>
    <row r="52" spans="1:6" x14ac:dyDescent="0.25">
      <c r="A52" s="101" t="s">
        <v>80</v>
      </c>
      <c r="B52" s="113">
        <v>3180379.8300000005</v>
      </c>
      <c r="C52" s="113">
        <f t="shared" si="0"/>
        <v>2417088.6708000004</v>
      </c>
      <c r="D52" s="113">
        <f t="shared" si="1"/>
        <v>604272.16770000011</v>
      </c>
      <c r="E52" s="113">
        <f t="shared" si="2"/>
        <v>159018.99150000003</v>
      </c>
      <c r="F52" s="113"/>
    </row>
    <row r="53" spans="1:6" x14ac:dyDescent="0.25">
      <c r="A53" s="101" t="s">
        <v>81</v>
      </c>
      <c r="B53" s="113">
        <v>19695352.549999997</v>
      </c>
      <c r="C53" s="113">
        <f t="shared" si="0"/>
        <v>14968467.937999997</v>
      </c>
      <c r="D53" s="113">
        <f t="shared" si="1"/>
        <v>3742116.9844999993</v>
      </c>
      <c r="E53" s="113">
        <f t="shared" si="2"/>
        <v>984767.62749999994</v>
      </c>
      <c r="F53" s="113"/>
    </row>
    <row r="54" spans="1:6" x14ac:dyDescent="0.25">
      <c r="A54" s="101" t="s">
        <v>82</v>
      </c>
      <c r="B54" s="113">
        <v>22448346.500000004</v>
      </c>
      <c r="C54" s="113">
        <f t="shared" si="0"/>
        <v>17060743.340000004</v>
      </c>
      <c r="D54" s="113">
        <f t="shared" si="1"/>
        <v>4265185.8350000009</v>
      </c>
      <c r="E54" s="113">
        <f t="shared" si="2"/>
        <v>1122417.3250000002</v>
      </c>
      <c r="F54" s="113"/>
    </row>
    <row r="55" spans="1:6" x14ac:dyDescent="0.25">
      <c r="A55" s="101" t="s">
        <v>83</v>
      </c>
      <c r="B55" s="113">
        <v>25846252.59</v>
      </c>
      <c r="C55" s="113">
        <f t="shared" si="0"/>
        <v>19643151.968400002</v>
      </c>
      <c r="D55" s="113">
        <f t="shared" si="1"/>
        <v>4910787.9921000004</v>
      </c>
      <c r="E55" s="113">
        <f t="shared" si="2"/>
        <v>1292312.6295</v>
      </c>
      <c r="F55" s="113"/>
    </row>
    <row r="56" spans="1:6" x14ac:dyDescent="0.25">
      <c r="A56" s="101" t="s">
        <v>174</v>
      </c>
      <c r="B56" s="113">
        <v>8720457.4700000007</v>
      </c>
      <c r="C56" s="113">
        <f t="shared" si="0"/>
        <v>6627547.6772000007</v>
      </c>
      <c r="D56" s="113">
        <f t="shared" si="1"/>
        <v>1656886.9193000002</v>
      </c>
      <c r="E56" s="113">
        <f t="shared" si="2"/>
        <v>436022.87350000005</v>
      </c>
      <c r="F56" s="113"/>
    </row>
    <row r="57" spans="1:6" x14ac:dyDescent="0.25">
      <c r="A57" s="101" t="s">
        <v>84</v>
      </c>
      <c r="B57" s="113">
        <v>3817793.55</v>
      </c>
      <c r="C57" s="113">
        <f t="shared" si="0"/>
        <v>2901523.0979999998</v>
      </c>
      <c r="D57" s="113">
        <f t="shared" si="1"/>
        <v>725380.77449999994</v>
      </c>
      <c r="E57" s="113">
        <f t="shared" si="2"/>
        <v>190889.67749999999</v>
      </c>
      <c r="F57" s="113"/>
    </row>
    <row r="58" spans="1:6" x14ac:dyDescent="0.25">
      <c r="A58" s="101" t="s">
        <v>85</v>
      </c>
      <c r="B58" s="113">
        <v>11170390.67</v>
      </c>
      <c r="C58" s="113">
        <f t="shared" si="0"/>
        <v>8489496.9091999996</v>
      </c>
      <c r="D58" s="113">
        <f t="shared" si="1"/>
        <v>2122374.2272999999</v>
      </c>
      <c r="E58" s="113">
        <f t="shared" si="2"/>
        <v>558519.53350000002</v>
      </c>
      <c r="F58" s="113"/>
    </row>
    <row r="59" spans="1:6" x14ac:dyDescent="0.25">
      <c r="A59" s="101" t="s">
        <v>86</v>
      </c>
      <c r="B59" s="113">
        <v>1780320.58</v>
      </c>
      <c r="C59" s="113">
        <f t="shared" si="0"/>
        <v>1353043.6408000002</v>
      </c>
      <c r="D59" s="113">
        <f t="shared" si="1"/>
        <v>338260.91020000004</v>
      </c>
      <c r="E59" s="113">
        <f t="shared" si="2"/>
        <v>89016.02900000001</v>
      </c>
      <c r="F59" s="113"/>
    </row>
    <row r="60" spans="1:6" x14ac:dyDescent="0.25">
      <c r="A60" s="101" t="s">
        <v>87</v>
      </c>
      <c r="B60" s="113">
        <v>24328481.469999995</v>
      </c>
      <c r="C60" s="113">
        <f t="shared" si="0"/>
        <v>18489645.917199995</v>
      </c>
      <c r="D60" s="113">
        <f t="shared" si="1"/>
        <v>4622411.4792999988</v>
      </c>
      <c r="E60" s="113">
        <f t="shared" si="2"/>
        <v>1216424.0734999997</v>
      </c>
      <c r="F60" s="113"/>
    </row>
    <row r="61" spans="1:6" x14ac:dyDescent="0.25">
      <c r="A61" s="101" t="s">
        <v>88</v>
      </c>
      <c r="B61" s="113">
        <v>3531297.5500000003</v>
      </c>
      <c r="C61" s="113">
        <f t="shared" si="0"/>
        <v>2683786.1380000003</v>
      </c>
      <c r="D61" s="113">
        <f t="shared" si="1"/>
        <v>670946.53450000007</v>
      </c>
      <c r="E61" s="113">
        <f t="shared" si="2"/>
        <v>176564.87750000003</v>
      </c>
      <c r="F61" s="113"/>
    </row>
    <row r="62" spans="1:6" x14ac:dyDescent="0.25">
      <c r="A62" s="101" t="s">
        <v>89</v>
      </c>
      <c r="B62" s="113">
        <v>40893418.259999998</v>
      </c>
      <c r="C62" s="113">
        <f t="shared" si="0"/>
        <v>31078997.877599999</v>
      </c>
      <c r="D62" s="113">
        <f t="shared" si="1"/>
        <v>7769749.4693999998</v>
      </c>
      <c r="E62" s="113">
        <f t="shared" si="2"/>
        <v>2044670.9129999999</v>
      </c>
      <c r="F62" s="113"/>
    </row>
    <row r="63" spans="1:6" x14ac:dyDescent="0.25">
      <c r="A63" s="101" t="s">
        <v>90</v>
      </c>
      <c r="B63" s="113">
        <v>10880652.609999999</v>
      </c>
      <c r="C63" s="113">
        <f t="shared" si="0"/>
        <v>8269295.9835999999</v>
      </c>
      <c r="D63" s="113">
        <f t="shared" si="1"/>
        <v>2067323.9959</v>
      </c>
      <c r="E63" s="113">
        <f t="shared" si="2"/>
        <v>544032.63049999997</v>
      </c>
      <c r="F63" s="113"/>
    </row>
    <row r="64" spans="1:6" x14ac:dyDescent="0.25">
      <c r="A64" s="101" t="s">
        <v>216</v>
      </c>
      <c r="B64" s="113">
        <f>SUM(B5:B63)</f>
        <v>1978857113.8699994</v>
      </c>
      <c r="C64" s="113">
        <f t="shared" ref="C64:E64" si="3">SUM(C5:C63)</f>
        <v>1503931406.5412004</v>
      </c>
      <c r="D64" s="113">
        <f t="shared" si="3"/>
        <v>375982851.6353001</v>
      </c>
      <c r="E64" s="113">
        <f t="shared" si="3"/>
        <v>98942855.693499953</v>
      </c>
      <c r="F64" s="113"/>
    </row>
  </sheetData>
  <sheetProtection formatColumns="0" formatRows="0"/>
  <customSheetViews>
    <customSheetView guid="{E7E6A24F-BA49-4C7A-9CED-3AB8F60308A1}" state="hidden">
      <selection activeCell="I10" sqref="I10"/>
      <pageMargins left="0.7" right="0.7" top="0.75" bottom="0.75" header="0.3" footer="0.3"/>
    </customSheetView>
    <customSheetView guid="{7E50CCF5-45D0-4F7B-8896-9BA64DCA8A01}" state="hidden">
      <selection activeCell="I10" sqref="I10"/>
      <pageMargins left="0.7" right="0.7" top="0.75" bottom="0.75" header="0.3" footer="0.3"/>
    </customSheetView>
    <customSheetView guid="{D8D3A042-2CA2-4641-BB44-BC182917D730}" state="hidden">
      <selection activeCell="I10" sqref="I10"/>
      <pageMargins left="0.7" right="0.7" top="0.75" bottom="0.75" header="0.3" footer="0.3"/>
    </customSheetView>
  </customSheetViews>
  <conditionalFormatting sqref="H6:H10">
    <cfRule type="containsText" dxfId="1" priority="1" operator="containsText" text="ERROR">
      <formula>NOT(ISERROR(SEARCH("ERROR",H6)))</formula>
    </cfRule>
    <cfRule type="containsText" dxfId="0" priority="2" operator="containsText" text="OK">
      <formula>NOT(ISERROR(SEARCH("OK",H6)))</formula>
    </cfRule>
  </conditionalFormatting>
  <pageMargins left="0.7" right="0.7" top="0.75" bottom="0.75" header="0.3" footer="0.3"/>
  <legacy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4">
    <pageSetUpPr fitToPage="1"/>
  </sheetPr>
  <dimension ref="A1:P60"/>
  <sheetViews>
    <sheetView view="pageBreakPreview" zoomScale="60" zoomScaleNormal="80" workbookViewId="0">
      <selection activeCell="A2" sqref="A2:B60"/>
    </sheetView>
  </sheetViews>
  <sheetFormatPr defaultColWidth="9.109375" defaultRowHeight="15" x14ac:dyDescent="0.25"/>
  <cols>
    <col min="1" max="1" width="18.109375" style="18" bestFit="1" customWidth="1"/>
    <col min="2" max="2" width="5.44140625" style="18" customWidth="1"/>
    <col min="3" max="3" width="18.88671875" style="18" bestFit="1" customWidth="1"/>
    <col min="4" max="4" width="17.88671875" style="18" customWidth="1"/>
    <col min="5" max="5" width="18" style="18" customWidth="1"/>
    <col min="6" max="6" width="36.88671875" style="18" bestFit="1" customWidth="1"/>
    <col min="7" max="7" width="27.109375" style="18" customWidth="1"/>
    <col min="8" max="8" width="31.5546875" style="18" bestFit="1" customWidth="1"/>
    <col min="9" max="9" width="25.33203125" style="18" customWidth="1"/>
    <col min="10" max="10" width="24.109375" style="18" customWidth="1"/>
    <col min="11" max="11" width="26" style="18" bestFit="1" customWidth="1"/>
    <col min="12" max="12" width="24.33203125" style="18" bestFit="1" customWidth="1"/>
    <col min="13" max="13" width="35.88671875" style="18" customWidth="1"/>
    <col min="14" max="14" width="23.109375" style="18" bestFit="1" customWidth="1"/>
    <col min="15" max="15" width="11.6640625" style="18" customWidth="1"/>
    <col min="16" max="16" width="9.109375" style="18" customWidth="1"/>
    <col min="17" max="16384" width="9.109375" style="18"/>
  </cols>
  <sheetData>
    <row r="1" spans="1:15" ht="31.8" thickBot="1" x14ac:dyDescent="0.35">
      <c r="A1" s="258" t="s">
        <v>145</v>
      </c>
      <c r="B1" s="259"/>
      <c r="C1" s="28" t="s">
        <v>146</v>
      </c>
      <c r="D1" s="29" t="s">
        <v>144</v>
      </c>
      <c r="E1" s="29" t="s">
        <v>147</v>
      </c>
      <c r="F1" s="29" t="s">
        <v>134</v>
      </c>
      <c r="G1" s="29" t="s">
        <v>135</v>
      </c>
      <c r="H1" s="29" t="s">
        <v>148</v>
      </c>
      <c r="I1" s="29" t="s">
        <v>149</v>
      </c>
      <c r="J1" s="29" t="s">
        <v>162</v>
      </c>
      <c r="K1" s="102" t="s">
        <v>226</v>
      </c>
      <c r="L1" s="102" t="s">
        <v>227</v>
      </c>
      <c r="M1" s="29" t="s">
        <v>158</v>
      </c>
      <c r="N1" s="28" t="s">
        <v>192</v>
      </c>
      <c r="O1" s="30"/>
    </row>
    <row r="2" spans="1:15" x14ac:dyDescent="0.25">
      <c r="A2" s="31" t="s">
        <v>34</v>
      </c>
      <c r="B2" s="32">
        <v>1</v>
      </c>
      <c r="C2" s="32" t="s">
        <v>160</v>
      </c>
      <c r="D2" s="33" t="s">
        <v>93</v>
      </c>
      <c r="E2" s="33" t="s">
        <v>123</v>
      </c>
      <c r="F2" s="33" t="s">
        <v>118</v>
      </c>
      <c r="G2" s="33" t="s">
        <v>136</v>
      </c>
      <c r="H2" s="33" t="s">
        <v>96</v>
      </c>
      <c r="I2" s="33" t="s">
        <v>151</v>
      </c>
      <c r="J2" s="33" t="s">
        <v>26</v>
      </c>
      <c r="K2" s="95" t="s">
        <v>219</v>
      </c>
      <c r="L2" s="95" t="s">
        <v>225</v>
      </c>
      <c r="M2" s="33" t="s">
        <v>103</v>
      </c>
      <c r="N2" s="33" t="s">
        <v>155</v>
      </c>
      <c r="O2" s="34"/>
    </row>
    <row r="3" spans="1:15" x14ac:dyDescent="0.25">
      <c r="A3" s="31" t="s">
        <v>91</v>
      </c>
      <c r="B3" s="32">
        <v>2</v>
      </c>
      <c r="C3" s="32" t="s">
        <v>161</v>
      </c>
      <c r="D3" s="33" t="s">
        <v>94</v>
      </c>
      <c r="E3" s="33" t="s">
        <v>122</v>
      </c>
      <c r="F3" s="33" t="s">
        <v>119</v>
      </c>
      <c r="G3" s="33" t="s">
        <v>137</v>
      </c>
      <c r="H3" s="33" t="s">
        <v>97</v>
      </c>
      <c r="I3" s="33" t="s">
        <v>152</v>
      </c>
      <c r="J3" s="33" t="s">
        <v>27</v>
      </c>
      <c r="K3" s="95" t="s">
        <v>218</v>
      </c>
      <c r="L3" s="95" t="s">
        <v>224</v>
      </c>
      <c r="M3" s="33" t="s">
        <v>104</v>
      </c>
      <c r="N3" s="33" t="s">
        <v>156</v>
      </c>
      <c r="O3" s="34"/>
    </row>
    <row r="4" spans="1:15" x14ac:dyDescent="0.25">
      <c r="A4" s="31" t="s">
        <v>35</v>
      </c>
      <c r="B4" s="32">
        <v>3</v>
      </c>
      <c r="C4" s="32"/>
      <c r="D4" s="33"/>
      <c r="E4" s="33"/>
      <c r="F4" s="33" t="s">
        <v>124</v>
      </c>
      <c r="G4" s="33" t="s">
        <v>138</v>
      </c>
      <c r="H4" s="33" t="s">
        <v>98</v>
      </c>
      <c r="I4" s="33"/>
      <c r="J4" s="33" t="s">
        <v>28</v>
      </c>
      <c r="K4" s="33"/>
      <c r="L4" s="95" t="s">
        <v>223</v>
      </c>
      <c r="M4" s="33" t="s">
        <v>105</v>
      </c>
      <c r="N4" s="33" t="s">
        <v>157</v>
      </c>
      <c r="O4" s="34"/>
    </row>
    <row r="5" spans="1:15" x14ac:dyDescent="0.25">
      <c r="A5" s="31" t="s">
        <v>36</v>
      </c>
      <c r="B5" s="32">
        <v>65</v>
      </c>
      <c r="C5" s="32"/>
      <c r="D5" s="33"/>
      <c r="E5" s="33"/>
      <c r="F5" s="33" t="s">
        <v>125</v>
      </c>
      <c r="G5" s="33"/>
      <c r="H5" s="33" t="s">
        <v>99</v>
      </c>
      <c r="I5" s="33"/>
      <c r="J5" s="33" t="s">
        <v>29</v>
      </c>
      <c r="K5" s="33"/>
      <c r="L5" s="95" t="s">
        <v>222</v>
      </c>
      <c r="M5" s="33" t="s">
        <v>106</v>
      </c>
      <c r="N5" s="33"/>
      <c r="O5" s="34"/>
    </row>
    <row r="6" spans="1:15" x14ac:dyDescent="0.25">
      <c r="A6" s="31" t="s">
        <v>37</v>
      </c>
      <c r="B6" s="32">
        <v>4</v>
      </c>
      <c r="C6" s="32"/>
      <c r="D6" s="33"/>
      <c r="E6" s="33"/>
      <c r="F6" s="33" t="s">
        <v>126</v>
      </c>
      <c r="G6" s="33"/>
      <c r="H6" s="33" t="s">
        <v>100</v>
      </c>
      <c r="I6" s="33"/>
      <c r="J6" s="33" t="s">
        <v>30</v>
      </c>
      <c r="K6" s="33"/>
      <c r="L6" s="95" t="s">
        <v>221</v>
      </c>
      <c r="M6" s="33" t="s">
        <v>107</v>
      </c>
      <c r="N6" s="33"/>
      <c r="O6" s="34"/>
    </row>
    <row r="7" spans="1:15" x14ac:dyDescent="0.25">
      <c r="A7" s="31" t="s">
        <v>38</v>
      </c>
      <c r="B7" s="32">
        <v>5</v>
      </c>
      <c r="C7" s="32"/>
      <c r="D7" s="33"/>
      <c r="E7" s="33"/>
      <c r="F7" s="33" t="s">
        <v>115</v>
      </c>
      <c r="G7" s="33"/>
      <c r="H7" s="33"/>
      <c r="I7" s="33"/>
      <c r="J7" s="33" t="s">
        <v>31</v>
      </c>
      <c r="K7" s="33"/>
      <c r="L7" s="95" t="s">
        <v>220</v>
      </c>
      <c r="M7" s="33" t="s">
        <v>12</v>
      </c>
      <c r="N7" s="33"/>
      <c r="O7" s="34"/>
    </row>
    <row r="8" spans="1:15" x14ac:dyDescent="0.25">
      <c r="A8" s="31" t="s">
        <v>39</v>
      </c>
      <c r="B8" s="32">
        <v>6</v>
      </c>
      <c r="C8" s="32"/>
      <c r="D8" s="33"/>
      <c r="E8" s="33"/>
      <c r="F8" s="33" t="s">
        <v>127</v>
      </c>
      <c r="G8" s="33"/>
      <c r="H8" s="33"/>
      <c r="I8" s="33"/>
      <c r="J8" s="33" t="s">
        <v>108</v>
      </c>
      <c r="K8" s="33"/>
      <c r="L8" s="95" t="s">
        <v>219</v>
      </c>
      <c r="M8" s="33"/>
      <c r="N8" s="33"/>
      <c r="O8" s="34"/>
    </row>
    <row r="9" spans="1:15" x14ac:dyDescent="0.25">
      <c r="A9" s="31" t="s">
        <v>40</v>
      </c>
      <c r="B9" s="32">
        <v>7</v>
      </c>
      <c r="C9" s="32"/>
      <c r="D9" s="33"/>
      <c r="E9" s="33"/>
      <c r="F9" s="33" t="s">
        <v>191</v>
      </c>
      <c r="G9" s="33"/>
      <c r="H9" s="33"/>
      <c r="I9" s="33"/>
      <c r="J9" s="33" t="s">
        <v>32</v>
      </c>
      <c r="K9" s="33"/>
      <c r="L9" s="95" t="s">
        <v>218</v>
      </c>
      <c r="M9" s="33"/>
      <c r="N9" s="33"/>
      <c r="O9" s="34"/>
    </row>
    <row r="10" spans="1:15" x14ac:dyDescent="0.25">
      <c r="A10" s="31" t="s">
        <v>41</v>
      </c>
      <c r="B10" s="32">
        <v>8</v>
      </c>
      <c r="C10" s="32"/>
      <c r="D10" s="33"/>
      <c r="E10" s="33"/>
      <c r="F10" s="33"/>
      <c r="G10" s="33"/>
      <c r="H10" s="33"/>
      <c r="I10" s="33"/>
      <c r="J10" s="95" t="s">
        <v>163</v>
      </c>
      <c r="K10" s="33"/>
      <c r="L10" s="33"/>
      <c r="M10" s="33"/>
      <c r="N10" s="33"/>
      <c r="O10" s="34"/>
    </row>
    <row r="11" spans="1:15" x14ac:dyDescent="0.25">
      <c r="A11" s="31" t="s">
        <v>42</v>
      </c>
      <c r="B11" s="32">
        <v>9</v>
      </c>
      <c r="C11" s="32"/>
      <c r="D11" s="33"/>
      <c r="E11" s="33"/>
      <c r="F11" s="33"/>
      <c r="G11" s="33"/>
      <c r="H11" s="33"/>
      <c r="I11" s="33"/>
      <c r="K11" s="33"/>
      <c r="L11" s="33"/>
      <c r="M11" s="33"/>
      <c r="N11" s="33"/>
      <c r="O11" s="34"/>
    </row>
    <row r="12" spans="1:15" x14ac:dyDescent="0.25">
      <c r="A12" s="31" t="s">
        <v>43</v>
      </c>
      <c r="B12" s="32">
        <v>10</v>
      </c>
      <c r="C12" s="32"/>
      <c r="D12" s="33"/>
      <c r="E12" s="33"/>
      <c r="F12" s="33"/>
      <c r="G12" s="33"/>
      <c r="H12" s="33"/>
      <c r="I12" s="33"/>
      <c r="J12" s="33"/>
      <c r="K12" s="33"/>
      <c r="L12" s="33"/>
      <c r="M12" s="33"/>
      <c r="N12" s="33"/>
      <c r="O12" s="34"/>
    </row>
    <row r="13" spans="1:15" x14ac:dyDescent="0.25">
      <c r="A13" s="31" t="s">
        <v>44</v>
      </c>
      <c r="B13" s="32">
        <v>11</v>
      </c>
      <c r="C13" s="32"/>
      <c r="D13" s="33"/>
      <c r="E13" s="33"/>
      <c r="F13" s="33"/>
      <c r="G13" s="33"/>
      <c r="H13" s="33"/>
      <c r="I13" s="33"/>
      <c r="J13" s="33"/>
      <c r="K13" s="33"/>
      <c r="L13" s="33"/>
      <c r="M13" s="33"/>
      <c r="N13" s="33"/>
      <c r="O13" s="34"/>
    </row>
    <row r="14" spans="1:15" x14ac:dyDescent="0.25">
      <c r="A14" s="31" t="s">
        <v>45</v>
      </c>
      <c r="B14" s="32">
        <v>12</v>
      </c>
      <c r="C14" s="32"/>
      <c r="D14" s="33"/>
      <c r="E14" s="33"/>
      <c r="F14" s="33"/>
      <c r="G14" s="33"/>
      <c r="H14" s="33"/>
      <c r="I14" s="33"/>
      <c r="J14" s="33"/>
      <c r="K14" s="33"/>
      <c r="L14" s="33"/>
      <c r="M14" s="33"/>
      <c r="N14" s="33"/>
      <c r="O14" s="34"/>
    </row>
    <row r="15" spans="1:15" x14ac:dyDescent="0.25">
      <c r="A15" s="31" t="s">
        <v>46</v>
      </c>
      <c r="B15" s="32">
        <v>13</v>
      </c>
      <c r="C15" s="32"/>
      <c r="D15" s="33"/>
      <c r="E15" s="33"/>
      <c r="F15" s="33"/>
      <c r="G15" s="33"/>
      <c r="H15" s="33"/>
      <c r="I15" s="33"/>
      <c r="J15" s="33"/>
      <c r="K15" s="33"/>
      <c r="L15" s="33"/>
      <c r="M15" s="33"/>
      <c r="N15" s="33"/>
      <c r="O15" s="34"/>
    </row>
    <row r="16" spans="1:15" x14ac:dyDescent="0.25">
      <c r="A16" s="31" t="s">
        <v>47</v>
      </c>
      <c r="B16" s="32">
        <v>14</v>
      </c>
      <c r="C16" s="32"/>
      <c r="D16" s="33"/>
      <c r="E16" s="33"/>
      <c r="F16" s="87"/>
      <c r="G16" s="33"/>
      <c r="H16" s="33"/>
      <c r="I16" s="33"/>
      <c r="J16" s="33"/>
      <c r="K16" s="33"/>
      <c r="L16" s="33"/>
      <c r="M16" s="33"/>
      <c r="N16" s="33"/>
      <c r="O16" s="34"/>
    </row>
    <row r="17" spans="1:16" x14ac:dyDescent="0.25">
      <c r="A17" s="31" t="s">
        <v>48</v>
      </c>
      <c r="B17" s="32">
        <v>15</v>
      </c>
      <c r="C17" s="32"/>
      <c r="D17" s="33"/>
      <c r="E17" s="33"/>
      <c r="F17" s="33"/>
      <c r="G17" s="33"/>
      <c r="H17" s="33"/>
      <c r="I17" s="33"/>
      <c r="J17" s="33"/>
      <c r="K17" s="33"/>
      <c r="L17" s="33"/>
      <c r="M17" s="33"/>
      <c r="N17" s="33"/>
      <c r="O17" s="34"/>
    </row>
    <row r="18" spans="1:16" x14ac:dyDescent="0.25">
      <c r="A18" s="31" t="s">
        <v>49</v>
      </c>
      <c r="B18" s="32">
        <v>16</v>
      </c>
      <c r="C18" s="32"/>
      <c r="D18" s="33"/>
      <c r="E18" s="33"/>
      <c r="F18" s="33"/>
      <c r="G18" s="33"/>
      <c r="H18" s="33"/>
      <c r="I18" s="33"/>
      <c r="J18" s="33"/>
      <c r="K18" s="33"/>
      <c r="L18" s="33"/>
      <c r="M18" s="33"/>
      <c r="N18" s="33"/>
      <c r="O18" s="34"/>
    </row>
    <row r="19" spans="1:16" x14ac:dyDescent="0.25">
      <c r="A19" s="31" t="s">
        <v>50</v>
      </c>
      <c r="B19" s="32">
        <v>17</v>
      </c>
      <c r="C19" s="32"/>
      <c r="D19" s="33"/>
      <c r="E19" s="33"/>
      <c r="F19" s="33"/>
      <c r="G19" s="33"/>
      <c r="H19" s="103"/>
      <c r="I19" s="33"/>
      <c r="J19" s="33"/>
      <c r="K19" s="33"/>
      <c r="L19" s="33"/>
      <c r="M19" s="33"/>
      <c r="N19" s="33"/>
      <c r="O19" s="34"/>
    </row>
    <row r="20" spans="1:16" x14ac:dyDescent="0.25">
      <c r="A20" s="31" t="s">
        <v>51</v>
      </c>
      <c r="B20" s="32">
        <v>18</v>
      </c>
      <c r="C20" s="32"/>
      <c r="D20" s="33"/>
      <c r="E20" s="33"/>
      <c r="F20" s="33"/>
      <c r="G20" s="33"/>
      <c r="H20" s="33"/>
      <c r="I20" s="33"/>
      <c r="J20" s="33"/>
      <c r="K20" s="33"/>
      <c r="L20" s="33"/>
      <c r="M20" s="33"/>
      <c r="N20" s="33"/>
      <c r="O20" s="34"/>
    </row>
    <row r="21" spans="1:16" x14ac:dyDescent="0.25">
      <c r="A21" s="31" t="s">
        <v>52</v>
      </c>
      <c r="B21" s="32">
        <v>19</v>
      </c>
      <c r="C21" s="32"/>
      <c r="D21" s="33"/>
      <c r="E21" s="33"/>
      <c r="F21" s="89"/>
      <c r="G21" s="33"/>
      <c r="H21" s="33"/>
      <c r="I21" s="33"/>
      <c r="J21" s="33"/>
      <c r="K21" s="33"/>
      <c r="L21" s="33"/>
      <c r="M21" s="33"/>
      <c r="N21" s="33"/>
      <c r="O21" s="34"/>
    </row>
    <row r="22" spans="1:16" x14ac:dyDescent="0.25">
      <c r="A22" s="31" t="s">
        <v>53</v>
      </c>
      <c r="B22" s="32">
        <v>20</v>
      </c>
      <c r="C22" s="32"/>
      <c r="D22" s="33"/>
      <c r="E22" s="33"/>
      <c r="F22" s="33"/>
      <c r="G22" s="33"/>
      <c r="H22" s="33"/>
      <c r="I22" s="33"/>
      <c r="J22" s="33"/>
      <c r="K22" s="33"/>
      <c r="L22" s="33"/>
      <c r="M22" s="33"/>
      <c r="N22" s="33"/>
      <c r="O22" s="34"/>
    </row>
    <row r="23" spans="1:16" x14ac:dyDescent="0.25">
      <c r="A23" s="31" t="s">
        <v>54</v>
      </c>
      <c r="B23" s="32">
        <v>21</v>
      </c>
      <c r="C23" s="32"/>
      <c r="D23" s="33"/>
      <c r="E23" s="33"/>
      <c r="F23" s="33"/>
      <c r="G23" s="33"/>
      <c r="H23" s="33"/>
      <c r="I23" s="33"/>
      <c r="J23" s="33"/>
      <c r="K23" s="33"/>
      <c r="L23" s="33"/>
      <c r="M23" s="33"/>
      <c r="N23" s="33"/>
      <c r="O23" s="34"/>
      <c r="P23" s="90"/>
    </row>
    <row r="24" spans="1:16" x14ac:dyDescent="0.25">
      <c r="A24" s="31" t="s">
        <v>55</v>
      </c>
      <c r="B24" s="32">
        <v>22</v>
      </c>
      <c r="C24" s="32"/>
      <c r="D24" s="33"/>
      <c r="E24" s="33"/>
      <c r="F24" s="33"/>
      <c r="G24" s="33"/>
      <c r="H24" s="33"/>
      <c r="I24" s="33"/>
      <c r="J24" s="33"/>
      <c r="K24" s="33"/>
      <c r="L24" s="33"/>
      <c r="M24" s="33"/>
      <c r="N24" s="33"/>
      <c r="O24" s="34"/>
    </row>
    <row r="25" spans="1:16" x14ac:dyDescent="0.25">
      <c r="A25" s="31" t="s">
        <v>56</v>
      </c>
      <c r="B25" s="32">
        <v>23</v>
      </c>
      <c r="C25" s="32"/>
      <c r="D25" s="33"/>
      <c r="E25" s="33"/>
      <c r="F25" s="33"/>
      <c r="G25" s="87"/>
      <c r="H25" s="33"/>
      <c r="I25" s="33"/>
      <c r="J25" s="33"/>
      <c r="K25" s="33"/>
      <c r="L25" s="33"/>
      <c r="M25" s="33"/>
      <c r="N25" s="33"/>
      <c r="O25" s="34"/>
    </row>
    <row r="26" spans="1:16" x14ac:dyDescent="0.25">
      <c r="A26" s="31" t="s">
        <v>57</v>
      </c>
      <c r="B26" s="32">
        <v>24</v>
      </c>
      <c r="C26" s="32"/>
      <c r="D26" s="33"/>
      <c r="E26" s="33"/>
      <c r="F26" s="33"/>
      <c r="G26" s="33"/>
      <c r="H26" s="33"/>
      <c r="I26" s="33"/>
      <c r="J26" s="33"/>
      <c r="K26" s="33"/>
      <c r="L26" s="33"/>
      <c r="M26" s="33"/>
      <c r="N26" s="33"/>
      <c r="O26" s="34"/>
    </row>
    <row r="27" spans="1:16" x14ac:dyDescent="0.25">
      <c r="A27" s="31" t="s">
        <v>58</v>
      </c>
      <c r="B27" s="32">
        <v>25</v>
      </c>
      <c r="C27" s="32"/>
      <c r="D27" s="33"/>
      <c r="E27" s="33"/>
      <c r="F27" s="33"/>
      <c r="G27" s="33"/>
      <c r="H27" s="33"/>
      <c r="I27" s="33"/>
      <c r="J27" s="33"/>
      <c r="K27" s="33"/>
      <c r="L27" s="33"/>
      <c r="M27" s="33"/>
      <c r="N27" s="33"/>
      <c r="O27" s="34"/>
    </row>
    <row r="28" spans="1:16" x14ac:dyDescent="0.25">
      <c r="A28" s="31" t="s">
        <v>59</v>
      </c>
      <c r="B28" s="32">
        <v>26</v>
      </c>
      <c r="C28" s="32"/>
      <c r="D28" s="33"/>
      <c r="E28" s="33"/>
      <c r="F28" s="33"/>
      <c r="G28" s="33"/>
      <c r="H28" s="33"/>
      <c r="I28" s="33"/>
      <c r="J28" s="33"/>
      <c r="K28" s="33"/>
      <c r="L28" s="33"/>
      <c r="M28" s="33"/>
      <c r="N28" s="33"/>
      <c r="O28" s="34"/>
    </row>
    <row r="29" spans="1:16" x14ac:dyDescent="0.25">
      <c r="A29" s="31" t="s">
        <v>60</v>
      </c>
      <c r="B29" s="32">
        <v>27</v>
      </c>
      <c r="C29" s="32"/>
      <c r="D29" s="33"/>
      <c r="E29" s="33"/>
      <c r="F29" s="33"/>
      <c r="G29" s="33"/>
      <c r="H29" s="33"/>
      <c r="I29" s="33"/>
      <c r="J29" s="33"/>
      <c r="K29" s="33"/>
      <c r="L29" s="33"/>
      <c r="M29" s="33"/>
      <c r="N29" s="33"/>
      <c r="O29" s="34"/>
    </row>
    <row r="30" spans="1:16" x14ac:dyDescent="0.25">
      <c r="A30" s="31" t="s">
        <v>61</v>
      </c>
      <c r="B30" s="32">
        <v>28</v>
      </c>
      <c r="C30" s="32"/>
      <c r="D30" s="33"/>
      <c r="E30" s="33"/>
      <c r="F30" s="33"/>
      <c r="G30" s="33"/>
      <c r="H30" s="33"/>
      <c r="I30" s="33"/>
      <c r="J30" s="33"/>
      <c r="K30" s="33"/>
      <c r="L30" s="33"/>
      <c r="M30" s="33"/>
      <c r="N30" s="33"/>
      <c r="O30" s="34"/>
    </row>
    <row r="31" spans="1:16" x14ac:dyDescent="0.25">
      <c r="A31" s="31" t="s">
        <v>62</v>
      </c>
      <c r="B31" s="32">
        <v>29</v>
      </c>
      <c r="C31" s="32"/>
      <c r="D31" s="33"/>
      <c r="E31" s="33"/>
      <c r="F31" s="33"/>
      <c r="G31" s="33"/>
      <c r="H31" s="33"/>
      <c r="I31" s="33"/>
      <c r="J31" s="33"/>
      <c r="K31" s="33"/>
      <c r="L31" s="33"/>
      <c r="M31" s="33"/>
      <c r="N31" s="33"/>
      <c r="O31" s="34"/>
    </row>
    <row r="32" spans="1:16" x14ac:dyDescent="0.25">
      <c r="A32" s="31" t="s">
        <v>63</v>
      </c>
      <c r="B32" s="32">
        <v>30</v>
      </c>
      <c r="C32" s="32"/>
      <c r="D32" s="33"/>
      <c r="E32" s="33"/>
      <c r="F32" s="33"/>
      <c r="G32" s="33"/>
      <c r="H32" s="33"/>
      <c r="I32" s="33"/>
      <c r="J32" s="33"/>
      <c r="K32" s="33"/>
      <c r="L32" s="33"/>
      <c r="M32" s="33"/>
      <c r="N32" s="33"/>
      <c r="O32" s="34"/>
    </row>
    <row r="33" spans="1:15" x14ac:dyDescent="0.25">
      <c r="A33" s="31" t="s">
        <v>64</v>
      </c>
      <c r="B33" s="32">
        <v>31</v>
      </c>
      <c r="C33" s="32"/>
      <c r="D33" s="33"/>
      <c r="E33" s="33"/>
      <c r="F33" s="33"/>
      <c r="G33" s="33"/>
      <c r="H33" s="33"/>
      <c r="I33" s="33"/>
      <c r="J33" s="33"/>
      <c r="K33" s="33"/>
      <c r="L33" s="33"/>
      <c r="M33" s="33"/>
      <c r="N33" s="33"/>
      <c r="O33" s="34"/>
    </row>
    <row r="34" spans="1:15" x14ac:dyDescent="0.25">
      <c r="A34" s="31" t="s">
        <v>65</v>
      </c>
      <c r="B34" s="32">
        <v>32</v>
      </c>
      <c r="C34" s="32"/>
      <c r="D34" s="33"/>
      <c r="E34" s="33"/>
      <c r="F34" s="33"/>
      <c r="G34" s="33"/>
      <c r="H34" s="33"/>
      <c r="I34" s="33"/>
      <c r="J34" s="33"/>
      <c r="K34" s="33"/>
      <c r="L34" s="33"/>
      <c r="M34" s="33"/>
      <c r="N34" s="33"/>
      <c r="O34" s="34"/>
    </row>
    <row r="35" spans="1:15" x14ac:dyDescent="0.25">
      <c r="A35" s="31" t="s">
        <v>66</v>
      </c>
      <c r="B35" s="32">
        <v>33</v>
      </c>
      <c r="C35" s="32"/>
      <c r="D35" s="33"/>
      <c r="E35" s="33"/>
      <c r="F35" s="33"/>
      <c r="G35" s="33"/>
      <c r="H35" s="33"/>
      <c r="I35" s="33"/>
      <c r="J35" s="33"/>
      <c r="K35" s="33"/>
      <c r="L35" s="33"/>
      <c r="M35" s="33"/>
      <c r="N35" s="33"/>
      <c r="O35" s="34"/>
    </row>
    <row r="36" spans="1:15" x14ac:dyDescent="0.25">
      <c r="A36" s="31" t="s">
        <v>67</v>
      </c>
      <c r="B36" s="32">
        <v>34</v>
      </c>
      <c r="C36" s="32"/>
      <c r="D36" s="33"/>
      <c r="E36" s="33"/>
      <c r="F36" s="33"/>
      <c r="G36" s="33"/>
      <c r="H36" s="33"/>
      <c r="I36" s="33"/>
      <c r="J36" s="33"/>
      <c r="K36" s="33"/>
      <c r="L36" s="33"/>
      <c r="M36" s="33"/>
      <c r="N36" s="33"/>
      <c r="O36" s="34"/>
    </row>
    <row r="37" spans="1:15" x14ac:dyDescent="0.25">
      <c r="A37" s="31" t="s">
        <v>68</v>
      </c>
      <c r="B37" s="32">
        <v>35</v>
      </c>
      <c r="C37" s="32"/>
      <c r="D37" s="33"/>
      <c r="E37" s="33"/>
      <c r="F37" s="33"/>
      <c r="G37" s="33"/>
      <c r="H37" s="33"/>
      <c r="I37" s="33"/>
      <c r="J37" s="33"/>
      <c r="K37" s="33"/>
      <c r="L37" s="33"/>
      <c r="M37" s="33"/>
      <c r="N37" s="33"/>
      <c r="O37" s="34"/>
    </row>
    <row r="38" spans="1:15" x14ac:dyDescent="0.25">
      <c r="A38" s="31" t="s">
        <v>69</v>
      </c>
      <c r="B38" s="32">
        <v>36</v>
      </c>
      <c r="C38" s="32"/>
      <c r="D38" s="33"/>
      <c r="E38" s="33"/>
      <c r="F38" s="33"/>
      <c r="G38" s="33"/>
      <c r="H38" s="33"/>
      <c r="I38" s="33"/>
      <c r="J38" s="33"/>
      <c r="K38" s="33"/>
      <c r="L38" s="33"/>
      <c r="M38" s="33"/>
      <c r="N38" s="33"/>
      <c r="O38" s="34"/>
    </row>
    <row r="39" spans="1:15" x14ac:dyDescent="0.25">
      <c r="A39" s="31" t="s">
        <v>70</v>
      </c>
      <c r="B39" s="32">
        <v>37</v>
      </c>
      <c r="C39" s="32"/>
      <c r="D39" s="33"/>
      <c r="E39" s="33"/>
      <c r="F39" s="33"/>
      <c r="G39" s="33"/>
      <c r="H39" s="33"/>
      <c r="I39" s="33"/>
      <c r="J39" s="33"/>
      <c r="K39" s="33"/>
      <c r="L39" s="33"/>
      <c r="M39" s="33"/>
      <c r="N39" s="33"/>
      <c r="O39" s="34"/>
    </row>
    <row r="40" spans="1:15" x14ac:dyDescent="0.25">
      <c r="A40" s="31" t="s">
        <v>71</v>
      </c>
      <c r="B40" s="32">
        <v>38</v>
      </c>
      <c r="C40" s="32"/>
      <c r="D40" s="33"/>
      <c r="E40" s="33"/>
      <c r="F40" s="33"/>
      <c r="G40" s="33"/>
      <c r="H40" s="33"/>
      <c r="I40" s="33"/>
      <c r="J40" s="33"/>
      <c r="K40" s="33"/>
      <c r="L40" s="33"/>
      <c r="M40" s="33"/>
      <c r="N40" s="33"/>
      <c r="O40" s="34"/>
    </row>
    <row r="41" spans="1:15" x14ac:dyDescent="0.25">
      <c r="A41" s="31" t="s">
        <v>72</v>
      </c>
      <c r="B41" s="32">
        <v>39</v>
      </c>
      <c r="C41" s="32"/>
      <c r="D41" s="33"/>
      <c r="E41" s="33"/>
      <c r="F41" s="33"/>
      <c r="G41" s="33"/>
      <c r="H41" s="33"/>
      <c r="I41" s="33"/>
      <c r="J41" s="33"/>
      <c r="K41" s="33"/>
      <c r="L41" s="33"/>
      <c r="M41" s="33"/>
      <c r="N41" s="33"/>
      <c r="O41" s="34"/>
    </row>
    <row r="42" spans="1:15" x14ac:dyDescent="0.25">
      <c r="A42" s="31" t="s">
        <v>73</v>
      </c>
      <c r="B42" s="32">
        <v>40</v>
      </c>
      <c r="C42" s="32"/>
      <c r="D42" s="33"/>
      <c r="E42" s="33"/>
      <c r="F42" s="33"/>
      <c r="G42" s="33"/>
      <c r="H42" s="33"/>
      <c r="I42" s="33"/>
      <c r="J42" s="33"/>
      <c r="K42" s="33"/>
      <c r="L42" s="33"/>
      <c r="M42" s="33"/>
      <c r="N42" s="33"/>
      <c r="O42" s="34"/>
    </row>
    <row r="43" spans="1:15" x14ac:dyDescent="0.25">
      <c r="A43" s="31" t="s">
        <v>74</v>
      </c>
      <c r="B43" s="32">
        <v>41</v>
      </c>
      <c r="C43" s="32"/>
      <c r="D43" s="33"/>
      <c r="E43" s="33"/>
      <c r="F43" s="33"/>
      <c r="G43" s="33"/>
      <c r="H43" s="33"/>
      <c r="I43" s="33"/>
      <c r="J43" s="33"/>
      <c r="K43" s="33"/>
      <c r="L43" s="33"/>
      <c r="M43" s="33"/>
      <c r="N43" s="33"/>
      <c r="O43" s="34"/>
    </row>
    <row r="44" spans="1:15" x14ac:dyDescent="0.25">
      <c r="A44" s="31" t="s">
        <v>75</v>
      </c>
      <c r="B44" s="32">
        <v>42</v>
      </c>
      <c r="C44" s="32"/>
      <c r="D44" s="33"/>
      <c r="E44" s="33"/>
      <c r="F44" s="33"/>
      <c r="G44" s="33"/>
      <c r="H44" s="33"/>
      <c r="I44" s="33"/>
      <c r="J44" s="33"/>
      <c r="K44" s="33"/>
      <c r="L44" s="33"/>
      <c r="M44" s="33"/>
      <c r="N44" s="33"/>
      <c r="O44" s="34"/>
    </row>
    <row r="45" spans="1:15" x14ac:dyDescent="0.25">
      <c r="A45" s="31" t="s">
        <v>76</v>
      </c>
      <c r="B45" s="32">
        <v>43</v>
      </c>
      <c r="C45" s="32"/>
      <c r="D45" s="33"/>
      <c r="E45" s="33"/>
      <c r="F45" s="33"/>
      <c r="G45" s="33"/>
      <c r="H45" s="33"/>
      <c r="I45" s="33"/>
      <c r="J45" s="33"/>
      <c r="K45" s="33"/>
      <c r="L45" s="33"/>
      <c r="M45" s="33"/>
      <c r="N45" s="33"/>
      <c r="O45" s="34"/>
    </row>
    <row r="46" spans="1:15" x14ac:dyDescent="0.25">
      <c r="A46" s="31" t="s">
        <v>77</v>
      </c>
      <c r="B46" s="32">
        <v>44</v>
      </c>
      <c r="C46" s="32"/>
      <c r="D46" s="33"/>
      <c r="E46" s="33"/>
      <c r="F46" s="33"/>
      <c r="G46" s="33"/>
      <c r="H46" s="33"/>
      <c r="I46" s="33"/>
      <c r="J46" s="33"/>
      <c r="K46" s="33"/>
      <c r="L46" s="33"/>
      <c r="M46" s="33"/>
      <c r="N46" s="33"/>
      <c r="O46" s="34"/>
    </row>
    <row r="47" spans="1:15" x14ac:dyDescent="0.25">
      <c r="A47" s="31" t="s">
        <v>78</v>
      </c>
      <c r="B47" s="32">
        <v>45</v>
      </c>
      <c r="C47" s="32"/>
      <c r="D47" s="33"/>
      <c r="E47" s="33"/>
      <c r="F47" s="33"/>
      <c r="G47" s="33"/>
      <c r="H47" s="33"/>
      <c r="I47" s="33"/>
      <c r="J47" s="33"/>
      <c r="K47" s="33"/>
      <c r="L47" s="33"/>
      <c r="M47" s="33"/>
      <c r="N47" s="33"/>
      <c r="O47" s="34"/>
    </row>
    <row r="48" spans="1:15" x14ac:dyDescent="0.25">
      <c r="A48" s="31" t="s">
        <v>79</v>
      </c>
      <c r="B48" s="32">
        <v>46</v>
      </c>
      <c r="C48" s="32"/>
      <c r="D48" s="33"/>
      <c r="E48" s="33"/>
      <c r="F48" s="33"/>
      <c r="G48" s="33"/>
      <c r="H48" s="33"/>
      <c r="I48" s="33"/>
      <c r="J48" s="33"/>
      <c r="K48" s="33"/>
      <c r="L48" s="33"/>
      <c r="M48" s="33"/>
      <c r="N48" s="33"/>
      <c r="O48" s="34"/>
    </row>
    <row r="49" spans="1:15" x14ac:dyDescent="0.25">
      <c r="A49" s="31" t="s">
        <v>80</v>
      </c>
      <c r="B49" s="32">
        <v>47</v>
      </c>
      <c r="C49" s="32"/>
      <c r="D49" s="33"/>
      <c r="E49" s="33"/>
      <c r="F49" s="33"/>
      <c r="G49" s="33"/>
      <c r="H49" s="33"/>
      <c r="I49" s="33"/>
      <c r="J49" s="33"/>
      <c r="K49" s="33"/>
      <c r="L49" s="33"/>
      <c r="M49" s="33"/>
      <c r="N49" s="33"/>
      <c r="O49" s="34"/>
    </row>
    <row r="50" spans="1:15" x14ac:dyDescent="0.25">
      <c r="A50" s="31" t="s">
        <v>81</v>
      </c>
      <c r="B50" s="32">
        <v>48</v>
      </c>
      <c r="C50" s="32"/>
      <c r="D50" s="33"/>
      <c r="E50" s="33"/>
      <c r="F50" s="33"/>
      <c r="G50" s="33"/>
      <c r="H50" s="33"/>
      <c r="I50" s="33"/>
      <c r="J50" s="33"/>
      <c r="K50" s="33"/>
      <c r="L50" s="33"/>
      <c r="M50" s="33"/>
      <c r="N50" s="33"/>
      <c r="O50" s="34"/>
    </row>
    <row r="51" spans="1:15" x14ac:dyDescent="0.25">
      <c r="A51" s="31" t="s">
        <v>82</v>
      </c>
      <c r="B51" s="32">
        <v>49</v>
      </c>
      <c r="C51" s="32"/>
      <c r="D51" s="33"/>
      <c r="E51" s="33"/>
      <c r="F51" s="33"/>
      <c r="G51" s="33"/>
      <c r="H51" s="33"/>
      <c r="I51" s="33"/>
      <c r="J51" s="33"/>
      <c r="K51" s="33"/>
      <c r="L51" s="33"/>
      <c r="M51" s="33"/>
      <c r="N51" s="33"/>
      <c r="O51" s="34"/>
    </row>
    <row r="52" spans="1:15" x14ac:dyDescent="0.25">
      <c r="A52" s="31" t="s">
        <v>83</v>
      </c>
      <c r="B52" s="32">
        <v>50</v>
      </c>
      <c r="C52" s="32"/>
      <c r="D52" s="33"/>
      <c r="E52" s="33"/>
      <c r="F52" s="33"/>
      <c r="G52" s="33"/>
      <c r="H52" s="33"/>
      <c r="I52" s="33"/>
      <c r="J52" s="33"/>
      <c r="K52" s="33"/>
      <c r="L52" s="33"/>
      <c r="M52" s="33"/>
      <c r="N52" s="33"/>
      <c r="O52" s="34"/>
    </row>
    <row r="53" spans="1:15" x14ac:dyDescent="0.25">
      <c r="A53" s="31" t="s">
        <v>92</v>
      </c>
      <c r="B53" s="32">
        <v>63</v>
      </c>
      <c r="C53" s="32"/>
      <c r="D53" s="33"/>
      <c r="E53" s="33"/>
      <c r="F53" s="33"/>
      <c r="G53" s="33"/>
      <c r="H53" s="33"/>
      <c r="I53" s="33"/>
      <c r="J53" s="33"/>
      <c r="K53" s="33"/>
      <c r="L53" s="33"/>
      <c r="M53" s="33"/>
      <c r="N53" s="33"/>
      <c r="O53" s="34"/>
    </row>
    <row r="54" spans="1:15" x14ac:dyDescent="0.25">
      <c r="A54" s="31" t="s">
        <v>84</v>
      </c>
      <c r="B54" s="32">
        <v>52</v>
      </c>
      <c r="C54" s="32"/>
      <c r="D54" s="33"/>
      <c r="E54" s="33"/>
      <c r="F54" s="33"/>
      <c r="G54" s="33"/>
      <c r="H54" s="33"/>
      <c r="I54" s="33"/>
      <c r="J54" s="33"/>
      <c r="K54" s="33"/>
      <c r="L54" s="33"/>
      <c r="M54" s="33"/>
      <c r="N54" s="33"/>
      <c r="O54" s="34"/>
    </row>
    <row r="55" spans="1:15" x14ac:dyDescent="0.25">
      <c r="A55" s="31" t="s">
        <v>85</v>
      </c>
      <c r="B55" s="32">
        <v>66</v>
      </c>
      <c r="C55" s="32"/>
      <c r="D55" s="33"/>
      <c r="E55" s="33"/>
      <c r="F55" s="33"/>
      <c r="G55" s="33"/>
      <c r="H55" s="33"/>
      <c r="I55" s="33"/>
      <c r="J55" s="33"/>
      <c r="K55" s="33"/>
      <c r="L55" s="33"/>
      <c r="M55" s="33"/>
      <c r="N55" s="33"/>
      <c r="O55" s="34"/>
    </row>
    <row r="56" spans="1:15" x14ac:dyDescent="0.25">
      <c r="A56" s="31" t="s">
        <v>86</v>
      </c>
      <c r="B56" s="32">
        <v>53</v>
      </c>
      <c r="C56" s="32"/>
      <c r="D56" s="33"/>
      <c r="E56" s="33"/>
      <c r="F56" s="33"/>
      <c r="G56" s="33"/>
      <c r="H56" s="33"/>
      <c r="I56" s="33"/>
      <c r="J56" s="33"/>
      <c r="K56" s="33"/>
      <c r="L56" s="33"/>
      <c r="M56" s="33"/>
      <c r="N56" s="33"/>
      <c r="O56" s="34"/>
    </row>
    <row r="57" spans="1:15" x14ac:dyDescent="0.25">
      <c r="A57" s="31" t="s">
        <v>87</v>
      </c>
      <c r="B57" s="32">
        <v>54</v>
      </c>
      <c r="C57" s="32"/>
      <c r="D57" s="33"/>
      <c r="E57" s="33"/>
      <c r="F57" s="33"/>
      <c r="G57" s="33"/>
      <c r="H57" s="33"/>
      <c r="I57" s="33"/>
      <c r="J57" s="33"/>
      <c r="K57" s="33"/>
      <c r="L57" s="33"/>
      <c r="M57" s="33"/>
      <c r="N57" s="33"/>
      <c r="O57" s="34"/>
    </row>
    <row r="58" spans="1:15" x14ac:dyDescent="0.25">
      <c r="A58" s="31" t="s">
        <v>88</v>
      </c>
      <c r="B58" s="32">
        <v>55</v>
      </c>
      <c r="C58" s="32"/>
      <c r="D58" s="33"/>
      <c r="E58" s="33"/>
      <c r="F58" s="33"/>
      <c r="G58" s="33"/>
      <c r="H58" s="33"/>
      <c r="I58" s="33"/>
      <c r="J58" s="33"/>
      <c r="M58" s="33"/>
      <c r="N58" s="33"/>
      <c r="O58" s="34"/>
    </row>
    <row r="59" spans="1:15" x14ac:dyDescent="0.25">
      <c r="A59" s="31" t="s">
        <v>89</v>
      </c>
      <c r="B59" s="32">
        <v>56</v>
      </c>
      <c r="C59" s="32"/>
      <c r="D59" s="33"/>
      <c r="E59" s="33"/>
      <c r="F59" s="33"/>
      <c r="G59" s="33"/>
      <c r="H59" s="33"/>
      <c r="I59" s="33"/>
      <c r="J59" s="33"/>
      <c r="M59" s="33"/>
      <c r="N59" s="33"/>
      <c r="O59" s="34"/>
    </row>
    <row r="60" spans="1:15" ht="15.6" thickBot="1" x14ac:dyDescent="0.3">
      <c r="A60" s="35" t="s">
        <v>90</v>
      </c>
      <c r="B60" s="36">
        <v>57</v>
      </c>
      <c r="C60" s="36"/>
      <c r="D60" s="37"/>
      <c r="E60" s="37"/>
      <c r="F60" s="37"/>
      <c r="G60" s="37"/>
      <c r="H60" s="37"/>
      <c r="I60" s="37"/>
      <c r="J60" s="37"/>
      <c r="K60" s="37"/>
      <c r="L60" s="37"/>
      <c r="M60" s="37"/>
      <c r="N60" s="37"/>
      <c r="O60" s="38"/>
    </row>
  </sheetData>
  <sheetProtection formatColumns="0" formatRows="0"/>
  <sortState xmlns:xlrd2="http://schemas.microsoft.com/office/spreadsheetml/2017/richdata2" ref="A2:B60">
    <sortCondition ref="A2:A60"/>
  </sortState>
  <customSheetViews>
    <customSheetView guid="{E7E6A24F-BA49-4C7A-9CED-3AB8F60308A1}" scale="60" showPageBreaks="1" fitToPage="1" printArea="1" state="hidden" view="pageBreakPreview" topLeftCell="E1">
      <selection activeCell="F25" sqref="F25"/>
      <pageMargins left="0.25" right="0.25" top="0.75" bottom="0.75" header="0.3" footer="0.3"/>
      <printOptions headings="1" gridLines="1"/>
      <pageSetup paperSize="5" scale="49" orientation="landscape" r:id="rId1"/>
      <headerFooter>
        <oddFooter>Page &amp;P of &amp;N</oddFooter>
      </headerFooter>
    </customSheetView>
    <customSheetView guid="{7E50CCF5-45D0-4F7B-8896-9BA64DCA8A01}" scale="60" showPageBreaks="1" fitToPage="1" printArea="1" state="hidden" view="pageBreakPreview" topLeftCell="E1">
      <selection activeCell="F25" sqref="F25"/>
      <pageMargins left="0.25" right="0.25" top="0.75" bottom="0.75" header="0.3" footer="0.3"/>
      <printOptions headings="1" gridLines="1"/>
      <pageSetup paperSize="5" scale="49" orientation="landscape" r:id="rId2"/>
      <headerFooter>
        <oddFooter>Page &amp;P of &amp;N</oddFooter>
      </headerFooter>
    </customSheetView>
    <customSheetView guid="{D8D3A042-2CA2-4641-BB44-BC182917D730}" scale="60" showPageBreaks="1" fitToPage="1" printArea="1" state="hidden" view="pageBreakPreview" topLeftCell="E1">
      <selection activeCell="F25" sqref="F25"/>
      <pageMargins left="0.25" right="0.25" top="0.75" bottom="0.75" header="0.3" footer="0.3"/>
      <printOptions headings="1" gridLines="1"/>
      <pageSetup paperSize="5" scale="49" orientation="landscape" r:id="rId3"/>
      <headerFooter>
        <oddFooter>Page &amp;P of &amp;N</oddFooter>
      </headerFooter>
    </customSheetView>
  </customSheetViews>
  <mergeCells count="1">
    <mergeCell ref="A1:B1"/>
  </mergeCells>
  <printOptions headings="1" gridLines="1"/>
  <pageMargins left="0.25" right="0.25" top="0.75" bottom="0.75" header="0.3" footer="0.3"/>
  <pageSetup paperSize="5" scale="49" orientation="landscape" r:id="rId4"/>
  <headerFooter>
    <oddFooter>Page &amp;P of &amp;N</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5"/>
  <dimension ref="A1:G83"/>
  <sheetViews>
    <sheetView zoomScale="80" zoomScaleNormal="80" workbookViewId="0">
      <selection activeCell="A69" sqref="A69"/>
    </sheetView>
  </sheetViews>
  <sheetFormatPr defaultColWidth="19.5546875" defaultRowHeight="15" x14ac:dyDescent="0.25"/>
  <cols>
    <col min="1" max="1" width="25.88671875" style="39" customWidth="1"/>
    <col min="2" max="2" width="14.88671875" style="39" customWidth="1"/>
    <col min="3" max="3" width="16" style="39" customWidth="1"/>
    <col min="4" max="4" width="18.44140625" style="39" customWidth="1"/>
    <col min="5" max="5" width="55.44140625" style="39" customWidth="1"/>
    <col min="6" max="7" width="19.5546875" style="39" customWidth="1"/>
    <col min="8" max="16384" width="19.5546875" style="39"/>
  </cols>
  <sheetData>
    <row r="1" spans="1:7" x14ac:dyDescent="0.25">
      <c r="D1" s="40" t="s">
        <v>167</v>
      </c>
    </row>
    <row r="2" spans="1:7" ht="14.25" customHeight="1" x14ac:dyDescent="0.3">
      <c r="A2" s="261" t="s">
        <v>168</v>
      </c>
      <c r="B2" s="261"/>
      <c r="C2" s="261"/>
      <c r="D2" s="261"/>
      <c r="E2" s="261"/>
    </row>
    <row r="3" spans="1:7" ht="14.25" customHeight="1" x14ac:dyDescent="0.3">
      <c r="A3" s="261" t="s">
        <v>229</v>
      </c>
      <c r="B3" s="261"/>
      <c r="C3" s="261"/>
      <c r="D3" s="261"/>
      <c r="E3" s="261"/>
    </row>
    <row r="4" spans="1:7" ht="14.25" customHeight="1" thickBot="1" x14ac:dyDescent="0.35">
      <c r="A4" s="41"/>
      <c r="B4" s="42"/>
      <c r="C4" s="43"/>
      <c r="D4" s="44"/>
    </row>
    <row r="5" spans="1:7" ht="14.25" customHeight="1" x14ac:dyDescent="0.3">
      <c r="A5" s="45" t="s">
        <v>169</v>
      </c>
      <c r="B5" s="260" t="s">
        <v>170</v>
      </c>
      <c r="C5" s="260"/>
      <c r="D5" s="46" t="s">
        <v>171</v>
      </c>
      <c r="E5" s="47"/>
    </row>
    <row r="6" spans="1:7" ht="14.25" customHeight="1" thickBot="1" x14ac:dyDescent="0.35">
      <c r="A6" s="48"/>
      <c r="B6" s="49">
        <v>42736</v>
      </c>
      <c r="C6" s="50">
        <v>43101</v>
      </c>
      <c r="D6" s="51" t="s">
        <v>172</v>
      </c>
      <c r="E6" s="52" t="s">
        <v>159</v>
      </c>
    </row>
    <row r="7" spans="1:7" ht="14.25" customHeight="1" x14ac:dyDescent="0.3">
      <c r="A7" s="53"/>
      <c r="B7" s="54"/>
      <c r="C7" s="54"/>
      <c r="D7" s="55"/>
      <c r="E7" s="56"/>
    </row>
    <row r="8" spans="1:7" ht="14.25" customHeight="1" x14ac:dyDescent="0.25">
      <c r="A8" s="57" t="s">
        <v>173</v>
      </c>
      <c r="B8" s="58">
        <v>39500973</v>
      </c>
      <c r="C8" s="58">
        <v>39809693</v>
      </c>
      <c r="D8" s="59">
        <v>0.8</v>
      </c>
      <c r="E8" s="60"/>
    </row>
    <row r="9" spans="1:7" ht="14.25" customHeight="1" x14ac:dyDescent="0.25">
      <c r="A9" s="61"/>
      <c r="B9" s="62"/>
      <c r="C9" s="62"/>
      <c r="D9" s="63"/>
      <c r="E9" s="56"/>
    </row>
    <row r="10" spans="1:7" ht="14.25" customHeight="1" x14ac:dyDescent="0.25">
      <c r="A10" s="64" t="s">
        <v>34</v>
      </c>
      <c r="B10" s="58">
        <v>1646405</v>
      </c>
      <c r="C10" s="58">
        <v>1660202</v>
      </c>
      <c r="D10" s="59">
        <v>0.8</v>
      </c>
      <c r="E10" s="60" t="str">
        <f>IF(B10&gt;=200000,"Yes", "No")</f>
        <v>Yes</v>
      </c>
      <c r="F10" s="86"/>
    </row>
    <row r="11" spans="1:7" ht="14.25" customHeight="1" x14ac:dyDescent="0.25">
      <c r="A11" s="64" t="s">
        <v>91</v>
      </c>
      <c r="B11" s="58">
        <v>1156</v>
      </c>
      <c r="C11" s="58">
        <v>1154</v>
      </c>
      <c r="D11" s="59">
        <v>-0.2</v>
      </c>
      <c r="E11" s="60" t="str">
        <f t="shared" ref="E11:E71" si="0">IF(B11&gt;=200000,"Yes", "No")</f>
        <v>No</v>
      </c>
    </row>
    <row r="12" spans="1:7" ht="14.25" customHeight="1" x14ac:dyDescent="0.25">
      <c r="A12" s="64" t="s">
        <v>35</v>
      </c>
      <c r="B12" s="58">
        <v>38382</v>
      </c>
      <c r="C12" s="58">
        <v>38094</v>
      </c>
      <c r="D12" s="59">
        <v>-0.8</v>
      </c>
      <c r="E12" s="60" t="str">
        <f t="shared" si="0"/>
        <v>No</v>
      </c>
    </row>
    <row r="13" spans="1:7" ht="14.25" customHeight="1" x14ac:dyDescent="0.25">
      <c r="A13" s="64" t="s">
        <v>37</v>
      </c>
      <c r="B13" s="58">
        <v>226403</v>
      </c>
      <c r="C13" s="58">
        <v>227621</v>
      </c>
      <c r="D13" s="59">
        <v>0.5</v>
      </c>
      <c r="E13" s="60" t="str">
        <f t="shared" si="0"/>
        <v>Yes</v>
      </c>
    </row>
    <row r="14" spans="1:7" ht="14.25" customHeight="1" x14ac:dyDescent="0.25">
      <c r="A14" s="64" t="s">
        <v>38</v>
      </c>
      <c r="B14" s="58">
        <v>45175</v>
      </c>
      <c r="C14" s="58">
        <v>45157</v>
      </c>
      <c r="D14" s="59">
        <v>0</v>
      </c>
      <c r="E14" s="60" t="str">
        <f t="shared" si="0"/>
        <v>No</v>
      </c>
      <c r="G14" s="86"/>
    </row>
    <row r="15" spans="1:7" ht="14.25" customHeight="1" x14ac:dyDescent="0.25">
      <c r="A15" s="64" t="s">
        <v>39</v>
      </c>
      <c r="B15" s="58">
        <v>22050</v>
      </c>
      <c r="C15" s="58">
        <v>22098</v>
      </c>
      <c r="D15" s="59">
        <v>0.2</v>
      </c>
      <c r="E15" s="60" t="str">
        <f t="shared" si="0"/>
        <v>No</v>
      </c>
    </row>
    <row r="16" spans="1:7" ht="14.25" customHeight="1" x14ac:dyDescent="0.25">
      <c r="A16" s="64" t="s">
        <v>40</v>
      </c>
      <c r="B16" s="58">
        <v>1139313</v>
      </c>
      <c r="C16" s="58">
        <v>1149363</v>
      </c>
      <c r="D16" s="59">
        <v>0.9</v>
      </c>
      <c r="E16" s="60" t="str">
        <f t="shared" si="0"/>
        <v>Yes</v>
      </c>
    </row>
    <row r="17" spans="1:5" ht="14.25" customHeight="1" x14ac:dyDescent="0.25">
      <c r="A17" s="64" t="s">
        <v>41</v>
      </c>
      <c r="B17" s="58">
        <v>27060</v>
      </c>
      <c r="C17" s="58">
        <v>27221</v>
      </c>
      <c r="D17" s="59">
        <v>0.6</v>
      </c>
      <c r="E17" s="60" t="str">
        <f t="shared" si="0"/>
        <v>No</v>
      </c>
    </row>
    <row r="18" spans="1:5" ht="14.25" customHeight="1" x14ac:dyDescent="0.25">
      <c r="A18" s="64" t="s">
        <v>42</v>
      </c>
      <c r="B18" s="58">
        <v>186223</v>
      </c>
      <c r="C18" s="58">
        <v>188399</v>
      </c>
      <c r="D18" s="59">
        <v>1.2</v>
      </c>
      <c r="E18" s="60" t="str">
        <f t="shared" si="0"/>
        <v>No</v>
      </c>
    </row>
    <row r="19" spans="1:5" ht="14.25" customHeight="1" x14ac:dyDescent="0.25">
      <c r="A19" s="64" t="s">
        <v>43</v>
      </c>
      <c r="B19" s="58">
        <v>995233</v>
      </c>
      <c r="C19" s="58">
        <v>1007229</v>
      </c>
      <c r="D19" s="59">
        <v>1.2</v>
      </c>
      <c r="E19" s="60" t="str">
        <f t="shared" si="0"/>
        <v>Yes</v>
      </c>
    </row>
    <row r="20" spans="1:5" ht="14.25" customHeight="1" x14ac:dyDescent="0.25">
      <c r="A20" s="64" t="s">
        <v>44</v>
      </c>
      <c r="B20" s="58">
        <v>28730</v>
      </c>
      <c r="C20" s="58">
        <v>28796</v>
      </c>
      <c r="D20" s="59">
        <v>0.2</v>
      </c>
      <c r="E20" s="60" t="str">
        <f t="shared" si="0"/>
        <v>No</v>
      </c>
    </row>
    <row r="21" spans="1:5" ht="14.25" customHeight="1" x14ac:dyDescent="0.25">
      <c r="A21" s="64" t="s">
        <v>45</v>
      </c>
      <c r="B21" s="58">
        <v>136430</v>
      </c>
      <c r="C21" s="58">
        <v>136002</v>
      </c>
      <c r="D21" s="59">
        <v>-0.3</v>
      </c>
      <c r="E21" s="60" t="str">
        <f t="shared" si="0"/>
        <v>No</v>
      </c>
    </row>
    <row r="22" spans="1:5" ht="14.25" customHeight="1" x14ac:dyDescent="0.25">
      <c r="A22" s="64" t="s">
        <v>46</v>
      </c>
      <c r="B22" s="58">
        <v>187921</v>
      </c>
      <c r="C22" s="58">
        <v>190624</v>
      </c>
      <c r="D22" s="59">
        <v>1.4</v>
      </c>
      <c r="E22" s="60" t="str">
        <f t="shared" si="0"/>
        <v>No</v>
      </c>
    </row>
    <row r="23" spans="1:5" ht="14.25" customHeight="1" x14ac:dyDescent="0.25">
      <c r="A23" s="64" t="s">
        <v>47</v>
      </c>
      <c r="B23" s="58">
        <v>18598</v>
      </c>
      <c r="C23" s="58">
        <v>18577</v>
      </c>
      <c r="D23" s="59">
        <v>-0.1</v>
      </c>
      <c r="E23" s="60" t="str">
        <f t="shared" si="0"/>
        <v>No</v>
      </c>
    </row>
    <row r="24" spans="1:5" ht="14.25" customHeight="1" x14ac:dyDescent="0.25">
      <c r="A24" s="64" t="s">
        <v>48</v>
      </c>
      <c r="B24" s="58">
        <v>896101</v>
      </c>
      <c r="C24" s="58">
        <v>905801</v>
      </c>
      <c r="D24" s="59">
        <v>1.1000000000000001</v>
      </c>
      <c r="E24" s="60" t="str">
        <f t="shared" si="0"/>
        <v>Yes</v>
      </c>
    </row>
    <row r="25" spans="1:5" ht="14.25" customHeight="1" x14ac:dyDescent="0.25">
      <c r="A25" s="64" t="s">
        <v>49</v>
      </c>
      <c r="B25" s="58">
        <v>149559</v>
      </c>
      <c r="C25" s="58">
        <v>151662</v>
      </c>
      <c r="D25" s="59">
        <v>1.4</v>
      </c>
      <c r="E25" s="60" t="str">
        <f t="shared" si="0"/>
        <v>No</v>
      </c>
    </row>
    <row r="26" spans="1:5" ht="14.25" customHeight="1" x14ac:dyDescent="0.25">
      <c r="A26" s="64" t="s">
        <v>50</v>
      </c>
      <c r="B26" s="58">
        <v>64740</v>
      </c>
      <c r="C26" s="58">
        <v>65081</v>
      </c>
      <c r="D26" s="59">
        <v>0.5</v>
      </c>
      <c r="E26" s="60" t="str">
        <f t="shared" si="0"/>
        <v>No</v>
      </c>
    </row>
    <row r="27" spans="1:5" ht="14.25" customHeight="1" x14ac:dyDescent="0.25">
      <c r="A27" s="64" t="s">
        <v>51</v>
      </c>
      <c r="B27" s="58">
        <v>30661</v>
      </c>
      <c r="C27" s="58">
        <v>30911</v>
      </c>
      <c r="D27" s="59">
        <v>0.8</v>
      </c>
      <c r="E27" s="60" t="str">
        <f t="shared" si="0"/>
        <v>No</v>
      </c>
    </row>
    <row r="28" spans="1:5" ht="14.25" customHeight="1" x14ac:dyDescent="0.25">
      <c r="A28" s="64" t="s">
        <v>52</v>
      </c>
      <c r="B28" s="58">
        <v>10231271</v>
      </c>
      <c r="C28" s="58">
        <v>10283729</v>
      </c>
      <c r="D28" s="59">
        <v>0.5</v>
      </c>
      <c r="E28" s="60" t="str">
        <f t="shared" si="0"/>
        <v>Yes</v>
      </c>
    </row>
    <row r="29" spans="1:5" ht="14.25" customHeight="1" x14ac:dyDescent="0.25">
      <c r="A29" s="64" t="s">
        <v>53</v>
      </c>
      <c r="B29" s="58">
        <v>156963</v>
      </c>
      <c r="C29" s="58">
        <v>158894</v>
      </c>
      <c r="D29" s="59">
        <v>1.2</v>
      </c>
      <c r="E29" s="60" t="str">
        <f t="shared" si="0"/>
        <v>No</v>
      </c>
    </row>
    <row r="30" spans="1:5" ht="14.25" customHeight="1" x14ac:dyDescent="0.25">
      <c r="A30" s="64" t="s">
        <v>54</v>
      </c>
      <c r="B30" s="58">
        <v>263262</v>
      </c>
      <c r="C30" s="58">
        <v>263886</v>
      </c>
      <c r="D30" s="59">
        <v>0.2</v>
      </c>
      <c r="E30" s="60" t="str">
        <f t="shared" si="0"/>
        <v>Yes</v>
      </c>
    </row>
    <row r="31" spans="1:5" ht="14.25" customHeight="1" x14ac:dyDescent="0.25">
      <c r="A31" s="64" t="s">
        <v>55</v>
      </c>
      <c r="B31" s="58">
        <v>18137</v>
      </c>
      <c r="C31" s="58">
        <v>18129</v>
      </c>
      <c r="D31" s="59">
        <v>0</v>
      </c>
      <c r="E31" s="60" t="str">
        <f t="shared" si="0"/>
        <v>No</v>
      </c>
    </row>
    <row r="32" spans="1:5" ht="14.25" customHeight="1" x14ac:dyDescent="0.25">
      <c r="A32" s="64" t="s">
        <v>56</v>
      </c>
      <c r="B32" s="58">
        <v>89092</v>
      </c>
      <c r="C32" s="58">
        <v>89299</v>
      </c>
      <c r="D32" s="59">
        <v>0.2</v>
      </c>
      <c r="E32" s="60" t="str">
        <f t="shared" si="0"/>
        <v>No</v>
      </c>
    </row>
    <row r="33" spans="1:5" ht="14.25" customHeight="1" x14ac:dyDescent="0.25">
      <c r="A33" s="64" t="s">
        <v>57</v>
      </c>
      <c r="B33" s="58">
        <v>275104</v>
      </c>
      <c r="C33" s="58">
        <v>279977</v>
      </c>
      <c r="D33" s="59">
        <v>1.8</v>
      </c>
      <c r="E33" s="60" t="str">
        <f t="shared" si="0"/>
        <v>Yes</v>
      </c>
    </row>
    <row r="34" spans="1:5" ht="14.25" customHeight="1" x14ac:dyDescent="0.25">
      <c r="A34" s="64" t="s">
        <v>58</v>
      </c>
      <c r="B34" s="58">
        <v>9562</v>
      </c>
      <c r="C34" s="58">
        <v>9612</v>
      </c>
      <c r="D34" s="59">
        <v>0.5</v>
      </c>
      <c r="E34" s="60" t="str">
        <f t="shared" si="0"/>
        <v>No</v>
      </c>
    </row>
    <row r="35" spans="1:5" ht="14.25" customHeight="1" x14ac:dyDescent="0.25">
      <c r="A35" s="64" t="s">
        <v>59</v>
      </c>
      <c r="B35" s="58">
        <v>13759</v>
      </c>
      <c r="C35" s="58">
        <v>13822</v>
      </c>
      <c r="D35" s="59">
        <v>0.5</v>
      </c>
      <c r="E35" s="60" t="str">
        <f t="shared" si="0"/>
        <v>No</v>
      </c>
    </row>
    <row r="36" spans="1:5" ht="14.25" customHeight="1" x14ac:dyDescent="0.25">
      <c r="A36" s="64" t="s">
        <v>60</v>
      </c>
      <c r="B36" s="58">
        <v>442149</v>
      </c>
      <c r="C36" s="58">
        <v>443281</v>
      </c>
      <c r="D36" s="59">
        <v>0.3</v>
      </c>
      <c r="E36" s="60" t="str">
        <f t="shared" si="0"/>
        <v>Yes</v>
      </c>
    </row>
    <row r="37" spans="1:5" ht="14.25" customHeight="1" x14ac:dyDescent="0.25">
      <c r="A37" s="64" t="s">
        <v>61</v>
      </c>
      <c r="B37" s="58">
        <v>141784</v>
      </c>
      <c r="C37" s="58">
        <v>141294</v>
      </c>
      <c r="D37" s="59">
        <v>-0.3</v>
      </c>
      <c r="E37" s="60" t="str">
        <f t="shared" si="0"/>
        <v>No</v>
      </c>
    </row>
    <row r="38" spans="1:5" ht="14.25" customHeight="1" x14ac:dyDescent="0.25">
      <c r="A38" s="64" t="s">
        <v>62</v>
      </c>
      <c r="B38" s="58">
        <v>98613</v>
      </c>
      <c r="C38" s="58">
        <v>99155</v>
      </c>
      <c r="D38" s="59">
        <v>0.5</v>
      </c>
      <c r="E38" s="60" t="str">
        <f t="shared" si="0"/>
        <v>No</v>
      </c>
    </row>
    <row r="39" spans="1:5" ht="14.25" customHeight="1" x14ac:dyDescent="0.25">
      <c r="A39" s="64" t="s">
        <v>63</v>
      </c>
      <c r="B39" s="58">
        <v>3198968</v>
      </c>
      <c r="C39" s="58">
        <v>3221103</v>
      </c>
      <c r="D39" s="59">
        <v>0.7</v>
      </c>
      <c r="E39" s="60" t="str">
        <f t="shared" si="0"/>
        <v>Yes</v>
      </c>
    </row>
    <row r="40" spans="1:5" ht="14.25" customHeight="1" x14ac:dyDescent="0.25">
      <c r="A40" s="64" t="s">
        <v>64</v>
      </c>
      <c r="B40" s="58">
        <v>383173</v>
      </c>
      <c r="C40" s="58">
        <v>389532</v>
      </c>
      <c r="D40" s="59">
        <v>1.7</v>
      </c>
      <c r="E40" s="60" t="str">
        <f t="shared" si="0"/>
        <v>Yes</v>
      </c>
    </row>
    <row r="41" spans="1:5" ht="14.25" customHeight="1" x14ac:dyDescent="0.25">
      <c r="A41" s="64" t="s">
        <v>65</v>
      </c>
      <c r="B41" s="58">
        <v>19818</v>
      </c>
      <c r="C41" s="58">
        <v>19773</v>
      </c>
      <c r="D41" s="59">
        <v>-0.2</v>
      </c>
      <c r="E41" s="60" t="str">
        <f t="shared" si="0"/>
        <v>No</v>
      </c>
    </row>
    <row r="42" spans="1:5" ht="14.25" customHeight="1" x14ac:dyDescent="0.25">
      <c r="A42" s="64" t="s">
        <v>66</v>
      </c>
      <c r="B42" s="58">
        <v>2382640</v>
      </c>
      <c r="C42" s="58">
        <v>2415955</v>
      </c>
      <c r="D42" s="59">
        <v>1.4</v>
      </c>
      <c r="E42" s="60" t="str">
        <f t="shared" si="0"/>
        <v>Yes</v>
      </c>
    </row>
    <row r="43" spans="1:5" ht="14.25" customHeight="1" x14ac:dyDescent="0.25">
      <c r="A43" s="64" t="s">
        <v>67</v>
      </c>
      <c r="B43" s="58">
        <v>1513415</v>
      </c>
      <c r="C43" s="58">
        <v>1529501</v>
      </c>
      <c r="D43" s="59">
        <v>1.1000000000000001</v>
      </c>
      <c r="E43" s="60" t="str">
        <f t="shared" si="0"/>
        <v>Yes</v>
      </c>
    </row>
    <row r="44" spans="1:5" ht="14.25" customHeight="1" x14ac:dyDescent="0.25">
      <c r="A44" s="64" t="s">
        <v>68</v>
      </c>
      <c r="B44" s="58">
        <v>56879</v>
      </c>
      <c r="C44" s="58">
        <v>57088</v>
      </c>
      <c r="D44" s="59">
        <v>0.4</v>
      </c>
      <c r="E44" s="60" t="str">
        <f t="shared" si="0"/>
        <v>No</v>
      </c>
    </row>
    <row r="45" spans="1:5" ht="14.25" customHeight="1" x14ac:dyDescent="0.25">
      <c r="A45" s="64" t="s">
        <v>69</v>
      </c>
      <c r="B45" s="58">
        <v>2155590</v>
      </c>
      <c r="C45" s="58">
        <v>2174938</v>
      </c>
      <c r="D45" s="59">
        <v>0.9</v>
      </c>
      <c r="E45" s="60" t="str">
        <f t="shared" si="0"/>
        <v>Yes</v>
      </c>
    </row>
    <row r="46" spans="1:5" ht="14.25" customHeight="1" x14ac:dyDescent="0.25">
      <c r="A46" s="64" t="s">
        <v>70</v>
      </c>
      <c r="B46" s="58">
        <v>3309509</v>
      </c>
      <c r="C46" s="58">
        <v>3337456</v>
      </c>
      <c r="D46" s="59">
        <v>0.8</v>
      </c>
      <c r="E46" s="60" t="str">
        <f t="shared" si="0"/>
        <v>Yes</v>
      </c>
    </row>
    <row r="47" spans="1:5" ht="14.25" customHeight="1" x14ac:dyDescent="0.25">
      <c r="A47" s="64" t="s">
        <v>71</v>
      </c>
      <c r="B47" s="58">
        <v>874008</v>
      </c>
      <c r="C47" s="58">
        <v>883963</v>
      </c>
      <c r="D47" s="59">
        <v>1.1000000000000001</v>
      </c>
      <c r="E47" s="60" t="str">
        <f t="shared" si="0"/>
        <v>Yes</v>
      </c>
    </row>
    <row r="48" spans="1:5" ht="14.25" customHeight="1" x14ac:dyDescent="0.25">
      <c r="A48" s="64" t="s">
        <v>72</v>
      </c>
      <c r="B48" s="58">
        <v>747263</v>
      </c>
      <c r="C48" s="58">
        <v>758744</v>
      </c>
      <c r="D48" s="59">
        <v>1.5</v>
      </c>
      <c r="E48" s="60" t="str">
        <f t="shared" si="0"/>
        <v>Yes</v>
      </c>
    </row>
    <row r="49" spans="1:5" ht="14.25" customHeight="1" x14ac:dyDescent="0.25">
      <c r="A49" s="64" t="s">
        <v>73</v>
      </c>
      <c r="B49" s="58">
        <v>279210</v>
      </c>
      <c r="C49" s="58">
        <v>280101</v>
      </c>
      <c r="D49" s="59">
        <v>0.3</v>
      </c>
      <c r="E49" s="60" t="str">
        <f t="shared" si="0"/>
        <v>Yes</v>
      </c>
    </row>
    <row r="50" spans="1:5" ht="14.25" customHeight="1" x14ac:dyDescent="0.25">
      <c r="A50" s="64" t="s">
        <v>74</v>
      </c>
      <c r="B50" s="58">
        <v>770256</v>
      </c>
      <c r="C50" s="58">
        <v>774155</v>
      </c>
      <c r="D50" s="59">
        <v>0.5</v>
      </c>
      <c r="E50" s="60" t="str">
        <f t="shared" si="0"/>
        <v>Yes</v>
      </c>
    </row>
    <row r="51" spans="1:5" ht="14.25" customHeight="1" x14ac:dyDescent="0.25">
      <c r="A51" s="64" t="s">
        <v>75</v>
      </c>
      <c r="B51" s="58">
        <v>450025</v>
      </c>
      <c r="C51" s="58">
        <v>453457</v>
      </c>
      <c r="D51" s="59">
        <v>0.8</v>
      </c>
      <c r="E51" s="60" t="str">
        <f t="shared" si="0"/>
        <v>Yes</v>
      </c>
    </row>
    <row r="52" spans="1:5" ht="14.25" customHeight="1" x14ac:dyDescent="0.25">
      <c r="A52" s="64" t="s">
        <v>76</v>
      </c>
      <c r="B52" s="58">
        <v>1937473</v>
      </c>
      <c r="C52" s="58">
        <v>1956598</v>
      </c>
      <c r="D52" s="59">
        <v>1</v>
      </c>
      <c r="E52" s="60" t="str">
        <f t="shared" si="0"/>
        <v>Yes</v>
      </c>
    </row>
    <row r="53" spans="1:5" ht="14.25" customHeight="1" x14ac:dyDescent="0.25">
      <c r="A53" s="64" t="s">
        <v>77</v>
      </c>
      <c r="B53" s="58">
        <v>276504</v>
      </c>
      <c r="C53" s="58">
        <v>276864</v>
      </c>
      <c r="D53" s="59">
        <v>0.1</v>
      </c>
      <c r="E53" s="60" t="str">
        <f t="shared" si="0"/>
        <v>Yes</v>
      </c>
    </row>
    <row r="54" spans="1:5" ht="14.25" customHeight="1" x14ac:dyDescent="0.25">
      <c r="A54" s="64" t="s">
        <v>78</v>
      </c>
      <c r="B54" s="58">
        <v>178148</v>
      </c>
      <c r="C54" s="58">
        <v>178271</v>
      </c>
      <c r="D54" s="59">
        <v>0.1</v>
      </c>
      <c r="E54" s="60" t="str">
        <f t="shared" si="0"/>
        <v>No</v>
      </c>
    </row>
    <row r="55" spans="1:5" ht="14.25" customHeight="1" x14ac:dyDescent="0.25">
      <c r="A55" s="64" t="s">
        <v>79</v>
      </c>
      <c r="B55" s="58">
        <v>3203</v>
      </c>
      <c r="C55" s="58">
        <v>3207</v>
      </c>
      <c r="D55" s="59">
        <v>0.1</v>
      </c>
      <c r="E55" s="60" t="str">
        <f t="shared" si="0"/>
        <v>No</v>
      </c>
    </row>
    <row r="56" spans="1:5" ht="14.25" customHeight="1" x14ac:dyDescent="0.25">
      <c r="A56" s="64" t="s">
        <v>80</v>
      </c>
      <c r="B56" s="58">
        <v>44655</v>
      </c>
      <c r="C56" s="58">
        <v>44612</v>
      </c>
      <c r="D56" s="59">
        <v>-0.1</v>
      </c>
      <c r="E56" s="60" t="str">
        <f t="shared" si="0"/>
        <v>No</v>
      </c>
    </row>
    <row r="57" spans="1:5" ht="14.25" customHeight="1" x14ac:dyDescent="0.25">
      <c r="A57" s="64" t="s">
        <v>81</v>
      </c>
      <c r="B57" s="58">
        <v>436640</v>
      </c>
      <c r="C57" s="58">
        <v>439793</v>
      </c>
      <c r="D57" s="59">
        <v>0.7</v>
      </c>
      <c r="E57" s="60" t="str">
        <f t="shared" si="0"/>
        <v>Yes</v>
      </c>
    </row>
    <row r="58" spans="1:5" ht="14.25" customHeight="1" x14ac:dyDescent="0.25">
      <c r="A58" s="64" t="s">
        <v>82</v>
      </c>
      <c r="B58" s="58">
        <v>504613</v>
      </c>
      <c r="C58" s="58">
        <v>503332</v>
      </c>
      <c r="D58" s="59">
        <v>-0.3</v>
      </c>
      <c r="E58" s="60" t="str">
        <f t="shared" si="0"/>
        <v>Yes</v>
      </c>
    </row>
    <row r="59" spans="1:5" ht="14.25" customHeight="1" x14ac:dyDescent="0.25">
      <c r="A59" s="64" t="s">
        <v>83</v>
      </c>
      <c r="B59" s="58">
        <v>549976</v>
      </c>
      <c r="C59" s="58">
        <v>555624</v>
      </c>
      <c r="D59" s="59">
        <v>1</v>
      </c>
      <c r="E59" s="60" t="str">
        <f t="shared" si="0"/>
        <v>Yes</v>
      </c>
    </row>
    <row r="60" spans="1:5" ht="14.25" customHeight="1" x14ac:dyDescent="0.25">
      <c r="A60" s="64" t="s">
        <v>174</v>
      </c>
      <c r="B60" s="58">
        <v>96919</v>
      </c>
      <c r="C60" s="58">
        <v>97238</v>
      </c>
      <c r="D60" s="59">
        <v>0.3</v>
      </c>
      <c r="E60" s="60" t="str">
        <f t="shared" si="0"/>
        <v>No</v>
      </c>
    </row>
    <row r="61" spans="1:5" ht="14.25" customHeight="1" x14ac:dyDescent="0.25">
      <c r="A61" s="64" t="s">
        <v>84</v>
      </c>
      <c r="B61" s="58">
        <v>63949</v>
      </c>
      <c r="C61" s="58">
        <v>64039</v>
      </c>
      <c r="D61" s="59">
        <v>0.1</v>
      </c>
      <c r="E61" s="60" t="str">
        <f t="shared" si="0"/>
        <v>No</v>
      </c>
    </row>
    <row r="62" spans="1:5" ht="14.25" customHeight="1" x14ac:dyDescent="0.25">
      <c r="A62" s="64" t="s">
        <v>86</v>
      </c>
      <c r="B62" s="58">
        <v>13634</v>
      </c>
      <c r="C62" s="58">
        <v>13635</v>
      </c>
      <c r="D62" s="59">
        <v>0</v>
      </c>
      <c r="E62" s="60" t="str">
        <f t="shared" si="0"/>
        <v>No</v>
      </c>
    </row>
    <row r="63" spans="1:5" ht="14.25" customHeight="1" x14ac:dyDescent="0.25">
      <c r="A63" s="64" t="s">
        <v>87</v>
      </c>
      <c r="B63" s="58">
        <v>470716</v>
      </c>
      <c r="C63" s="58">
        <v>475834</v>
      </c>
      <c r="D63" s="59">
        <v>1.1000000000000001</v>
      </c>
      <c r="E63" s="60" t="str">
        <f t="shared" si="0"/>
        <v>Yes</v>
      </c>
    </row>
    <row r="64" spans="1:5" ht="14.25" customHeight="1" x14ac:dyDescent="0.25">
      <c r="A64" s="64" t="s">
        <v>88</v>
      </c>
      <c r="B64" s="58">
        <v>54725</v>
      </c>
      <c r="C64" s="58">
        <v>54740</v>
      </c>
      <c r="D64" s="59">
        <v>0</v>
      </c>
      <c r="E64" s="60" t="str">
        <f t="shared" si="0"/>
        <v>No</v>
      </c>
    </row>
    <row r="65" spans="1:6" ht="14.25" customHeight="1" x14ac:dyDescent="0.25">
      <c r="A65" s="64" t="s">
        <v>89</v>
      </c>
      <c r="B65" s="58">
        <v>855910</v>
      </c>
      <c r="C65" s="58">
        <v>859073</v>
      </c>
      <c r="D65" s="59">
        <v>0.4</v>
      </c>
      <c r="E65" s="60" t="str">
        <f t="shared" si="0"/>
        <v>Yes</v>
      </c>
    </row>
    <row r="66" spans="1:6" ht="14.25" customHeight="1" x14ac:dyDescent="0.25">
      <c r="A66" s="64" t="s">
        <v>90</v>
      </c>
      <c r="B66" s="58">
        <v>218673</v>
      </c>
      <c r="C66" s="58">
        <v>221270</v>
      </c>
      <c r="D66" s="59">
        <v>1.2</v>
      </c>
      <c r="E66" s="60" t="str">
        <f t="shared" si="0"/>
        <v>Yes</v>
      </c>
    </row>
    <row r="67" spans="1:6" ht="14.25" customHeight="1" thickBot="1" x14ac:dyDescent="0.3">
      <c r="A67" s="65" t="s">
        <v>175</v>
      </c>
      <c r="B67" s="66">
        <v>74645</v>
      </c>
      <c r="C67" s="66">
        <v>74727</v>
      </c>
      <c r="D67" s="67">
        <v>0.1</v>
      </c>
      <c r="E67" s="104" t="str">
        <f t="shared" si="0"/>
        <v>No</v>
      </c>
    </row>
    <row r="68" spans="1:6" ht="14.25" customHeight="1" thickBot="1" x14ac:dyDescent="0.3">
      <c r="A68" s="64"/>
      <c r="B68" s="58"/>
      <c r="C68" s="58"/>
      <c r="D68" s="59"/>
      <c r="E68" s="81"/>
      <c r="F68" s="74"/>
    </row>
    <row r="69" spans="1:6" x14ac:dyDescent="0.25">
      <c r="A69" s="68" t="s">
        <v>92</v>
      </c>
      <c r="B69" s="69">
        <f>B60+B67</f>
        <v>171564</v>
      </c>
      <c r="C69" s="69">
        <f>C60+C67</f>
        <v>171965</v>
      </c>
      <c r="D69" s="70"/>
      <c r="E69" s="71" t="str">
        <f t="shared" si="0"/>
        <v>No</v>
      </c>
    </row>
    <row r="70" spans="1:6" x14ac:dyDescent="0.25">
      <c r="A70" s="72" t="s">
        <v>36</v>
      </c>
      <c r="B70" s="73">
        <v>120700</v>
      </c>
      <c r="C70" s="73">
        <v>121874</v>
      </c>
      <c r="D70" s="74">
        <v>1</v>
      </c>
      <c r="E70" s="75" t="str">
        <f t="shared" si="0"/>
        <v>No</v>
      </c>
    </row>
    <row r="71" spans="1:6" ht="15.6" thickBot="1" x14ac:dyDescent="0.3">
      <c r="A71" s="76" t="s">
        <v>85</v>
      </c>
      <c r="B71" s="77">
        <f>B73+B74+B75</f>
        <v>224180</v>
      </c>
      <c r="C71" s="77">
        <f>C73+C74+C75</f>
        <v>225393</v>
      </c>
      <c r="D71" s="78"/>
      <c r="E71" s="79" t="str">
        <f t="shared" si="0"/>
        <v>Yes</v>
      </c>
    </row>
    <row r="72" spans="1:6" x14ac:dyDescent="0.25">
      <c r="A72" s="33"/>
      <c r="B72" s="80"/>
      <c r="C72" s="80"/>
      <c r="D72" s="74"/>
      <c r="E72" s="81"/>
    </row>
    <row r="73" spans="1:6" x14ac:dyDescent="0.25">
      <c r="A73" s="105" t="s">
        <v>234</v>
      </c>
      <c r="B73" s="106">
        <v>36293</v>
      </c>
      <c r="C73" s="82">
        <v>36446</v>
      </c>
      <c r="D73" s="74">
        <v>0.4</v>
      </c>
      <c r="E73" s="81"/>
    </row>
    <row r="74" spans="1:6" x14ac:dyDescent="0.25">
      <c r="A74" s="105" t="s">
        <v>235</v>
      </c>
      <c r="B74" s="106">
        <v>33169</v>
      </c>
      <c r="C74" s="82">
        <v>33260</v>
      </c>
      <c r="D74" s="74">
        <v>0.3</v>
      </c>
      <c r="E74" s="81"/>
    </row>
    <row r="75" spans="1:6" x14ac:dyDescent="0.25">
      <c r="A75" s="105" t="s">
        <v>236</v>
      </c>
      <c r="B75" s="106">
        <v>154718</v>
      </c>
      <c r="C75" s="82">
        <v>155687</v>
      </c>
      <c r="D75" s="74">
        <v>0.6</v>
      </c>
      <c r="E75" s="81"/>
    </row>
    <row r="76" spans="1:6" x14ac:dyDescent="0.25">
      <c r="A76" s="74"/>
      <c r="B76" s="80"/>
      <c r="C76" s="80"/>
      <c r="D76" s="74"/>
      <c r="E76" s="81"/>
    </row>
    <row r="77" spans="1:6" x14ac:dyDescent="0.25">
      <c r="A77" s="74"/>
      <c r="B77" s="80"/>
      <c r="C77" s="80"/>
      <c r="D77" s="74"/>
      <c r="E77" s="81"/>
    </row>
    <row r="78" spans="1:6" ht="15.6" x14ac:dyDescent="0.3">
      <c r="A78" s="83" t="s">
        <v>176</v>
      </c>
      <c r="B78" s="84"/>
      <c r="C78" s="84"/>
      <c r="D78" s="84"/>
      <c r="E78" s="84"/>
    </row>
    <row r="79" spans="1:6" ht="15.6" x14ac:dyDescent="0.3">
      <c r="A79" s="83" t="s">
        <v>177</v>
      </c>
      <c r="B79" s="84"/>
      <c r="C79" s="84"/>
      <c r="D79" s="84"/>
      <c r="E79" s="84"/>
    </row>
    <row r="80" spans="1:6" ht="15.6" x14ac:dyDescent="0.3">
      <c r="A80" s="83" t="s">
        <v>178</v>
      </c>
      <c r="B80" s="84"/>
      <c r="C80" s="84"/>
      <c r="D80" s="84"/>
      <c r="E80" s="84"/>
    </row>
    <row r="81" spans="1:5" ht="15.6" x14ac:dyDescent="0.3">
      <c r="A81" s="84"/>
      <c r="B81" s="84"/>
      <c r="C81" s="84"/>
      <c r="D81" s="84"/>
      <c r="E81" s="84"/>
    </row>
    <row r="82" spans="1:5" ht="15.6" x14ac:dyDescent="0.3">
      <c r="A82" s="85" t="s">
        <v>179</v>
      </c>
      <c r="B82" s="84"/>
      <c r="C82" s="84"/>
      <c r="D82" s="84"/>
      <c r="E82" s="84"/>
    </row>
    <row r="83" spans="1:5" ht="15.6" x14ac:dyDescent="0.3">
      <c r="A83" s="85" t="s">
        <v>180</v>
      </c>
      <c r="B83" s="84"/>
      <c r="C83" s="84"/>
      <c r="D83" s="84"/>
      <c r="E83" s="84"/>
    </row>
  </sheetData>
  <sheetProtection formatColumns="0" formatRows="0"/>
  <customSheetViews>
    <customSheetView guid="{E7E6A24F-BA49-4C7A-9CED-3AB8F60308A1}" scale="80" showPageBreaks="1" printArea="1" state="hidden" topLeftCell="A49">
      <selection activeCell="C71" sqref="C71"/>
      <pageMargins left="0.7" right="0.7" top="0.75" bottom="0.75" header="0.3" footer="0.3"/>
      <printOptions headings="1" gridLines="1"/>
      <pageSetup paperSize="5" scale="43" orientation="landscape" r:id="rId1"/>
    </customSheetView>
    <customSheetView guid="{7E50CCF5-45D0-4F7B-8896-9BA64DCA8A01}" scale="80" state="hidden" topLeftCell="A49">
      <selection activeCell="C71" sqref="C71"/>
      <pageMargins left="0.7" right="0.7" top="0.75" bottom="0.75" header="0.3" footer="0.3"/>
      <printOptions headings="1" gridLines="1"/>
      <pageSetup paperSize="5" scale="43" orientation="landscape" r:id="rId2"/>
    </customSheetView>
    <customSheetView guid="{D8D3A042-2CA2-4641-BB44-BC182917D730}" scale="80" showPageBreaks="1" printArea="1" state="hidden" topLeftCell="A49">
      <selection activeCell="C71" sqref="C71"/>
      <pageMargins left="0.7" right="0.7" top="0.75" bottom="0.75" header="0.3" footer="0.3"/>
      <printOptions headings="1" gridLines="1"/>
      <pageSetup paperSize="5" scale="43" orientation="landscape" r:id="rId3"/>
    </customSheetView>
  </customSheetViews>
  <mergeCells count="3">
    <mergeCell ref="B5:C5"/>
    <mergeCell ref="A2:E2"/>
    <mergeCell ref="A3:E3"/>
  </mergeCells>
  <hyperlinks>
    <hyperlink ref="D1" location="'About the Data'!A1" display="About the Data" xr:uid="{00000000-0004-0000-1700-000000000000}"/>
  </hyperlinks>
  <printOptions headings="1" gridLines="1"/>
  <pageMargins left="0.7" right="0.7" top="0.75" bottom="0.75" header="0.3" footer="0.3"/>
  <pageSetup paperSize="5" scale="43" orientation="landscape"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0">
    <pageSetUpPr autoPageBreaks="0"/>
  </sheetPr>
  <dimension ref="A1:L48"/>
  <sheetViews>
    <sheetView showGridLines="0" topLeftCell="C20" zoomScaleNormal="100" zoomScaleSheetLayoutView="40" zoomScalePageLayoutView="85" workbookViewId="0">
      <selection activeCell="D43" sqref="D43"/>
    </sheetView>
  </sheetViews>
  <sheetFormatPr defaultColWidth="0" defaultRowHeight="15" zeroHeight="1" x14ac:dyDescent="0.25"/>
  <cols>
    <col min="1" max="1" width="5.33203125" style="269" customWidth="1"/>
    <col min="2" max="2" width="13.6640625" style="282" customWidth="1"/>
    <col min="3" max="3" width="65.44140625" style="282" customWidth="1"/>
    <col min="4" max="8" width="22.6640625" style="282" customWidth="1"/>
    <col min="9" max="9" width="24" style="282" bestFit="1" customWidth="1"/>
    <col min="10" max="10" width="18.33203125" style="269" hidden="1" customWidth="1"/>
    <col min="11" max="12" width="9.109375" style="269" hidden="1" customWidth="1"/>
    <col min="13" max="16384" width="9.109375" style="269" hidden="1"/>
  </cols>
  <sheetData>
    <row r="1" spans="1:12" s="205" customFormat="1" x14ac:dyDescent="0.25">
      <c r="A1" s="262" t="s">
        <v>747</v>
      </c>
      <c r="B1" s="263" t="s">
        <v>270</v>
      </c>
      <c r="C1" s="19"/>
      <c r="D1" s="19"/>
      <c r="E1" s="121"/>
      <c r="F1" s="17"/>
      <c r="G1" s="17"/>
      <c r="H1" s="19"/>
      <c r="I1" s="265" t="s">
        <v>268</v>
      </c>
      <c r="J1" s="17"/>
      <c r="K1" s="17"/>
      <c r="L1" s="17"/>
    </row>
    <row r="2" spans="1:12" s="205" customFormat="1" ht="15.6" thickBot="1" x14ac:dyDescent="0.3">
      <c r="A2" s="17"/>
      <c r="B2" s="266" t="s">
        <v>269</v>
      </c>
      <c r="C2" s="127"/>
      <c r="D2" s="127"/>
      <c r="E2" s="128"/>
      <c r="F2" s="127"/>
      <c r="G2" s="127"/>
      <c r="H2" s="127"/>
      <c r="I2" s="128"/>
      <c r="J2" s="17"/>
      <c r="K2" s="17"/>
      <c r="L2" s="17"/>
    </row>
    <row r="3" spans="1:12" s="205" customFormat="1" x14ac:dyDescent="0.25">
      <c r="A3" s="17"/>
      <c r="B3" s="100"/>
      <c r="C3" s="19"/>
      <c r="D3" s="19"/>
      <c r="E3" s="121"/>
      <c r="F3" s="17"/>
      <c r="G3" s="17"/>
      <c r="H3" s="17"/>
      <c r="I3" s="17"/>
      <c r="J3" s="17"/>
      <c r="K3" s="17"/>
      <c r="L3" s="17"/>
    </row>
    <row r="4" spans="1:12" x14ac:dyDescent="0.25">
      <c r="A4" s="99"/>
      <c r="B4" s="270" t="s">
        <v>781</v>
      </c>
      <c r="C4" s="99"/>
      <c r="D4" s="99"/>
      <c r="E4" s="99"/>
      <c r="F4" s="99"/>
      <c r="G4" s="99"/>
      <c r="H4" s="99"/>
      <c r="I4" s="99"/>
      <c r="J4" s="99"/>
      <c r="K4" s="99"/>
      <c r="L4" s="99"/>
    </row>
    <row r="5" spans="1:12" ht="15.6" x14ac:dyDescent="0.25">
      <c r="A5" s="99"/>
      <c r="B5" s="281" t="str">
        <f>'1. Information'!B5</f>
        <v>Annual Mental Health Services Act (MHSA) Revenue and Expenditure Report</v>
      </c>
      <c r="C5" s="96"/>
      <c r="D5" s="96"/>
      <c r="E5" s="96"/>
      <c r="F5" s="96"/>
      <c r="G5" s="96"/>
      <c r="H5" s="96"/>
      <c r="I5" s="96"/>
      <c r="J5" s="99"/>
      <c r="K5" s="99"/>
      <c r="L5" s="99"/>
    </row>
    <row r="6" spans="1:12" ht="15.6" x14ac:dyDescent="0.3">
      <c r="A6" s="99"/>
      <c r="B6" s="283" t="str">
        <f>'1. Information'!B6</f>
        <v>Fiscal Year: 2023-24</v>
      </c>
      <c r="C6" s="96"/>
      <c r="D6" s="5"/>
      <c r="E6" s="5"/>
      <c r="F6" s="5"/>
      <c r="G6" s="5"/>
      <c r="H6" s="5"/>
      <c r="I6" s="96"/>
      <c r="J6" s="99"/>
      <c r="K6" s="99"/>
      <c r="L6" s="99"/>
    </row>
    <row r="7" spans="1:12" ht="15.6" x14ac:dyDescent="0.3">
      <c r="A7" s="99"/>
      <c r="B7" s="283" t="s">
        <v>278</v>
      </c>
      <c r="C7" s="5"/>
      <c r="D7" s="5"/>
      <c r="E7" s="5"/>
      <c r="F7" s="5"/>
      <c r="G7" s="5"/>
      <c r="H7" s="5"/>
      <c r="I7" s="96"/>
      <c r="J7" s="99"/>
      <c r="K7" s="99"/>
      <c r="L7" s="99"/>
    </row>
    <row r="8" spans="1:12" ht="15.6" x14ac:dyDescent="0.25">
      <c r="A8" s="99"/>
      <c r="B8" s="96"/>
      <c r="C8" s="5"/>
      <c r="D8" s="5"/>
      <c r="E8" s="5"/>
      <c r="F8" s="5"/>
      <c r="G8" s="5"/>
      <c r="H8" s="5"/>
      <c r="I8" s="96"/>
      <c r="J8" s="99"/>
      <c r="K8" s="99"/>
      <c r="L8" s="99"/>
    </row>
    <row r="9" spans="1:12" ht="15.6" x14ac:dyDescent="0.3">
      <c r="A9" s="99"/>
      <c r="B9" s="284" t="s">
        <v>0</v>
      </c>
      <c r="C9" s="206" t="str">
        <f>IF(ISBLANK('1. Information'!D11),"",'1. Information'!D11)</f>
        <v>Marin</v>
      </c>
      <c r="D9" s="96"/>
      <c r="E9" s="96"/>
      <c r="F9" s="284" t="s">
        <v>1</v>
      </c>
      <c r="G9" s="285">
        <f>IF(ISBLANK('1. Information'!D9),"",'1. Information'!D9)</f>
        <v>45684</v>
      </c>
      <c r="H9" s="96"/>
      <c r="I9" s="96"/>
      <c r="J9" s="99"/>
      <c r="K9" s="99"/>
      <c r="L9" s="99"/>
    </row>
    <row r="10" spans="1:12" x14ac:dyDescent="0.25">
      <c r="A10" s="99"/>
      <c r="B10" s="97"/>
      <c r="C10" s="97"/>
      <c r="D10" s="97"/>
      <c r="E10" s="97"/>
      <c r="F10" s="97"/>
      <c r="G10" s="15"/>
      <c r="H10" s="97"/>
      <c r="I10" s="97"/>
      <c r="J10" s="99"/>
      <c r="K10" s="99"/>
      <c r="L10" s="99"/>
    </row>
    <row r="11" spans="1:12" x14ac:dyDescent="0.25">
      <c r="A11" s="99"/>
      <c r="B11" s="97"/>
      <c r="C11" s="97"/>
      <c r="D11" s="97"/>
      <c r="E11" s="97"/>
      <c r="F11" s="97"/>
      <c r="G11" s="15"/>
      <c r="H11" s="97"/>
      <c r="I11" s="97"/>
      <c r="J11" s="99"/>
      <c r="K11" s="99"/>
      <c r="L11" s="99"/>
    </row>
    <row r="12" spans="1:12" x14ac:dyDescent="0.25">
      <c r="A12" s="99"/>
      <c r="B12" s="97"/>
      <c r="C12" s="97"/>
      <c r="D12" s="286" t="s">
        <v>22</v>
      </c>
      <c r="E12" s="286" t="s">
        <v>23</v>
      </c>
      <c r="F12" s="286" t="s">
        <v>25</v>
      </c>
      <c r="G12" s="286" t="s">
        <v>199</v>
      </c>
      <c r="H12" s="286" t="s">
        <v>200</v>
      </c>
      <c r="I12" s="286" t="s">
        <v>201</v>
      </c>
      <c r="J12" s="99"/>
      <c r="K12" s="99"/>
      <c r="L12" s="99"/>
    </row>
    <row r="13" spans="1:12" ht="15.6" x14ac:dyDescent="0.3">
      <c r="A13" s="99"/>
      <c r="B13" s="287" t="s">
        <v>243</v>
      </c>
      <c r="C13" s="130"/>
      <c r="D13" s="288" t="s">
        <v>26</v>
      </c>
      <c r="E13" s="288" t="s">
        <v>27</v>
      </c>
      <c r="F13" s="288" t="s">
        <v>28</v>
      </c>
      <c r="G13" s="288" t="s">
        <v>29</v>
      </c>
      <c r="H13" s="288" t="s">
        <v>30</v>
      </c>
      <c r="I13" s="288" t="s">
        <v>21</v>
      </c>
      <c r="J13" s="99"/>
      <c r="K13" s="99"/>
      <c r="L13" s="99"/>
    </row>
    <row r="14" spans="1:12" x14ac:dyDescent="0.25">
      <c r="A14" s="99"/>
      <c r="B14" s="289">
        <v>1</v>
      </c>
      <c r="C14" s="290" t="s">
        <v>272</v>
      </c>
      <c r="D14" s="183">
        <v>626982.99</v>
      </c>
      <c r="E14" s="183">
        <v>156745.75</v>
      </c>
      <c r="F14" s="183">
        <v>41248.879999999997</v>
      </c>
      <c r="G14" s="183">
        <v>0</v>
      </c>
      <c r="H14" s="183">
        <v>0</v>
      </c>
      <c r="I14" s="207">
        <f>SUM(D14:H14)</f>
        <v>824977.62</v>
      </c>
      <c r="J14" s="99"/>
      <c r="K14" s="99"/>
      <c r="L14" s="99"/>
    </row>
    <row r="15" spans="1:12" x14ac:dyDescent="0.25">
      <c r="A15" s="99"/>
      <c r="B15" s="291">
        <v>2</v>
      </c>
      <c r="C15" s="292" t="s">
        <v>271</v>
      </c>
      <c r="D15" s="183">
        <v>0</v>
      </c>
      <c r="E15" s="183">
        <v>0</v>
      </c>
      <c r="F15" s="183">
        <v>0</v>
      </c>
      <c r="G15" s="183">
        <v>0</v>
      </c>
      <c r="H15" s="183">
        <v>0</v>
      </c>
      <c r="I15" s="207">
        <f>SUM(D15:H15)</f>
        <v>0</v>
      </c>
      <c r="J15" s="99"/>
      <c r="K15" s="99"/>
      <c r="L15" s="99"/>
    </row>
    <row r="16" spans="1:12" x14ac:dyDescent="0.25">
      <c r="A16" s="99"/>
      <c r="B16" s="99"/>
      <c r="C16" s="99"/>
      <c r="D16" s="99"/>
      <c r="E16" s="99"/>
      <c r="F16" s="99"/>
      <c r="G16" s="99"/>
      <c r="H16" s="99"/>
      <c r="I16" s="99"/>
      <c r="J16" s="99"/>
      <c r="K16" s="99"/>
      <c r="L16" s="99"/>
    </row>
    <row r="17" spans="1:12" x14ac:dyDescent="0.25">
      <c r="A17" s="99"/>
      <c r="B17" s="99"/>
      <c r="C17" s="99"/>
      <c r="D17" s="286" t="s">
        <v>22</v>
      </c>
      <c r="E17" s="286" t="s">
        <v>23</v>
      </c>
      <c r="F17" s="293" t="s">
        <v>25</v>
      </c>
      <c r="G17" s="99"/>
      <c r="H17" s="99"/>
      <c r="I17" s="99"/>
      <c r="J17" s="99"/>
      <c r="K17" s="99"/>
      <c r="L17" s="99"/>
    </row>
    <row r="18" spans="1:12" ht="15.6" x14ac:dyDescent="0.3">
      <c r="A18" s="99"/>
      <c r="B18" s="287" t="s">
        <v>244</v>
      </c>
      <c r="C18" s="130"/>
      <c r="D18" s="294" t="s">
        <v>26</v>
      </c>
      <c r="E18" s="295" t="s">
        <v>27</v>
      </c>
      <c r="F18" s="294" t="s">
        <v>21</v>
      </c>
      <c r="G18" s="99"/>
      <c r="H18" s="99"/>
      <c r="I18" s="99"/>
      <c r="J18" s="99"/>
      <c r="K18" s="99"/>
      <c r="L18" s="99"/>
    </row>
    <row r="19" spans="1:12" x14ac:dyDescent="0.25">
      <c r="A19" s="99"/>
      <c r="B19" s="286">
        <v>3</v>
      </c>
      <c r="C19" s="290" t="s">
        <v>228</v>
      </c>
      <c r="D19" s="229"/>
      <c r="E19" s="230"/>
      <c r="F19" s="183">
        <v>2175490</v>
      </c>
      <c r="G19" s="99"/>
      <c r="H19" s="99"/>
      <c r="I19" s="99"/>
      <c r="J19" s="99"/>
      <c r="K19" s="99"/>
      <c r="L19" s="99"/>
    </row>
    <row r="20" spans="1:12" x14ac:dyDescent="0.25">
      <c r="A20" s="99"/>
      <c r="B20" s="289">
        <v>4</v>
      </c>
      <c r="C20" s="296" t="s">
        <v>744</v>
      </c>
      <c r="D20" s="183">
        <v>0</v>
      </c>
      <c r="E20" s="183">
        <v>0</v>
      </c>
      <c r="F20" s="297">
        <f>-D20-E20</f>
        <v>0</v>
      </c>
      <c r="G20" s="99"/>
      <c r="H20" s="99"/>
      <c r="I20" s="99"/>
      <c r="J20" s="99"/>
      <c r="K20" s="99"/>
      <c r="L20" s="99"/>
    </row>
    <row r="21" spans="1:12" x14ac:dyDescent="0.25">
      <c r="A21" s="99"/>
      <c r="B21" s="289">
        <v>5</v>
      </c>
      <c r="C21" s="296" t="s">
        <v>246</v>
      </c>
      <c r="D21" s="298">
        <f>'3. CSS'!F24</f>
        <v>0</v>
      </c>
      <c r="E21" s="231"/>
      <c r="F21" s="299">
        <f>SUM(D21:E21)</f>
        <v>0</v>
      </c>
      <c r="G21" s="99"/>
      <c r="H21" s="99"/>
      <c r="I21" s="99"/>
      <c r="J21" s="99"/>
      <c r="K21" s="99"/>
      <c r="L21" s="99"/>
    </row>
    <row r="22" spans="1:12" x14ac:dyDescent="0.25">
      <c r="A22" s="99"/>
      <c r="B22" s="289">
        <v>6</v>
      </c>
      <c r="C22" s="296" t="s">
        <v>245</v>
      </c>
      <c r="D22" s="232"/>
      <c r="E22" s="232"/>
      <c r="F22" s="299">
        <f>SUM('8. Adjustment (MHSA)'!F91:F120)</f>
        <v>0</v>
      </c>
      <c r="G22" s="99"/>
      <c r="H22" s="99"/>
      <c r="I22" s="99"/>
      <c r="J22" s="99"/>
      <c r="K22" s="99"/>
      <c r="L22" s="99"/>
    </row>
    <row r="23" spans="1:12" x14ac:dyDescent="0.25">
      <c r="A23" s="99"/>
      <c r="B23" s="286">
        <v>7</v>
      </c>
      <c r="C23" s="290" t="s">
        <v>230</v>
      </c>
      <c r="D23" s="232"/>
      <c r="E23" s="232"/>
      <c r="F23" s="300">
        <f>F19+F20+F21+F22</f>
        <v>2175490</v>
      </c>
      <c r="G23" s="99"/>
      <c r="H23" s="99"/>
      <c r="I23" s="99"/>
      <c r="J23" s="99"/>
      <c r="K23" s="99"/>
      <c r="L23" s="99"/>
    </row>
    <row r="24" spans="1:12" x14ac:dyDescent="0.25">
      <c r="A24" s="99"/>
      <c r="B24" s="99"/>
      <c r="C24" s="99"/>
      <c r="D24" s="99"/>
      <c r="E24" s="99"/>
      <c r="F24" s="99"/>
      <c r="G24" s="99"/>
      <c r="H24" s="99"/>
      <c r="I24" s="99"/>
      <c r="J24" s="99"/>
      <c r="K24" s="99"/>
      <c r="L24" s="99"/>
    </row>
    <row r="25" spans="1:12" x14ac:dyDescent="0.25">
      <c r="A25" s="99"/>
      <c r="B25" s="99"/>
      <c r="C25" s="99"/>
      <c r="D25" s="286" t="s">
        <v>22</v>
      </c>
      <c r="E25" s="286" t="s">
        <v>23</v>
      </c>
      <c r="F25" s="286" t="s">
        <v>25</v>
      </c>
      <c r="G25" s="286" t="s">
        <v>199</v>
      </c>
      <c r="H25" s="286" t="s">
        <v>200</v>
      </c>
      <c r="I25" s="286" t="s">
        <v>201</v>
      </c>
      <c r="J25" s="99"/>
      <c r="K25" s="99"/>
      <c r="L25" s="99"/>
    </row>
    <row r="26" spans="1:12" ht="15.6" x14ac:dyDescent="0.3">
      <c r="A26" s="99"/>
      <c r="B26" s="287" t="s">
        <v>240</v>
      </c>
      <c r="C26" s="132"/>
      <c r="D26" s="294" t="s">
        <v>26</v>
      </c>
      <c r="E26" s="294" t="s">
        <v>27</v>
      </c>
      <c r="F26" s="294" t="s">
        <v>29</v>
      </c>
      <c r="G26" s="294" t="s">
        <v>30</v>
      </c>
      <c r="H26" s="294" t="s">
        <v>33</v>
      </c>
      <c r="I26" s="294" t="s">
        <v>21</v>
      </c>
      <c r="J26" s="99"/>
      <c r="K26" s="99"/>
      <c r="L26" s="99"/>
    </row>
    <row r="27" spans="1:12" x14ac:dyDescent="0.25">
      <c r="A27" s="99"/>
      <c r="B27" s="289">
        <v>8</v>
      </c>
      <c r="C27" s="301" t="s">
        <v>217</v>
      </c>
      <c r="D27" s="299">
        <f>(E27+F27+G27+H27)*-1</f>
        <v>-2761411</v>
      </c>
      <c r="E27" s="299">
        <f>'3. CSS'!F21</f>
        <v>0</v>
      </c>
      <c r="F27" s="302">
        <f>'3. CSS'!F22</f>
        <v>956295</v>
      </c>
      <c r="G27" s="298">
        <f>'3. CSS'!F23</f>
        <v>1805116</v>
      </c>
      <c r="H27" s="298">
        <f>'3. CSS'!F24</f>
        <v>0</v>
      </c>
      <c r="I27" s="302">
        <f>SUM(D27:H27)</f>
        <v>0</v>
      </c>
      <c r="J27" s="269" t="str">
        <f>IF(SUM(D27:H27)=I27,"","ERROR")</f>
        <v/>
      </c>
      <c r="K27" s="99"/>
      <c r="L27" s="99"/>
    </row>
    <row r="28" spans="1:12" x14ac:dyDescent="0.25">
      <c r="A28" s="99"/>
      <c r="B28" s="99"/>
      <c r="C28" s="99"/>
      <c r="D28" s="99"/>
      <c r="E28" s="99"/>
      <c r="F28" s="99"/>
      <c r="G28" s="99"/>
      <c r="H28" s="99"/>
      <c r="I28" s="99"/>
      <c r="J28" s="99"/>
      <c r="K28" s="99"/>
      <c r="L28" s="99"/>
    </row>
    <row r="29" spans="1:12" x14ac:dyDescent="0.25">
      <c r="A29" s="99"/>
      <c r="B29" s="96"/>
      <c r="C29" s="96"/>
      <c r="D29" s="286" t="s">
        <v>22</v>
      </c>
      <c r="E29" s="286" t="s">
        <v>23</v>
      </c>
      <c r="F29" s="286" t="s">
        <v>25</v>
      </c>
      <c r="G29" s="286" t="s">
        <v>199</v>
      </c>
      <c r="H29" s="286" t="s">
        <v>200</v>
      </c>
      <c r="I29" s="286" t="s">
        <v>201</v>
      </c>
      <c r="J29" s="99"/>
      <c r="K29" s="99"/>
      <c r="L29" s="99"/>
    </row>
    <row r="30" spans="1:12" ht="15.6" x14ac:dyDescent="0.3">
      <c r="A30" s="99"/>
      <c r="B30" s="287" t="s">
        <v>247</v>
      </c>
      <c r="C30" s="132"/>
      <c r="D30" s="294" t="s">
        <v>26</v>
      </c>
      <c r="E30" s="294" t="s">
        <v>27</v>
      </c>
      <c r="F30" s="294" t="s">
        <v>28</v>
      </c>
      <c r="G30" s="294" t="s">
        <v>29</v>
      </c>
      <c r="H30" s="294" t="s">
        <v>30</v>
      </c>
      <c r="I30" s="294" t="s">
        <v>21</v>
      </c>
      <c r="J30" s="99"/>
      <c r="K30" s="99"/>
      <c r="L30" s="99"/>
    </row>
    <row r="31" spans="1:12" x14ac:dyDescent="0.25">
      <c r="A31" s="99"/>
      <c r="B31" s="286">
        <v>9</v>
      </c>
      <c r="C31" s="301" t="s">
        <v>598</v>
      </c>
      <c r="D31" s="298">
        <f>'3. CSS'!F27</f>
        <v>23708144.27</v>
      </c>
      <c r="E31" s="298">
        <f>'4. PEI'!F22</f>
        <v>4248139.54</v>
      </c>
      <c r="F31" s="298">
        <f>'5. INN'!F23</f>
        <v>1615332.3399999999</v>
      </c>
      <c r="G31" s="298">
        <f>'6. WET'!F21</f>
        <v>480970.13</v>
      </c>
      <c r="H31" s="298">
        <f>'7. CFTN'!F21</f>
        <v>1325945.94</v>
      </c>
      <c r="I31" s="298">
        <f t="shared" ref="I31:I35" si="0">SUM(D31:H31)</f>
        <v>31378532.219999999</v>
      </c>
      <c r="J31" s="99"/>
      <c r="K31" s="99"/>
      <c r="L31" s="99"/>
    </row>
    <row r="32" spans="1:12" x14ac:dyDescent="0.25">
      <c r="A32" s="99"/>
      <c r="B32" s="286">
        <v>10</v>
      </c>
      <c r="C32" s="303" t="s">
        <v>4</v>
      </c>
      <c r="D32" s="300">
        <f>'3. CSS'!G27</f>
        <v>5964820.3200000003</v>
      </c>
      <c r="E32" s="300">
        <f>'4. PEI'!G22</f>
        <v>0</v>
      </c>
      <c r="F32" s="300">
        <f>'5. INN'!G23</f>
        <v>31699.200000000001</v>
      </c>
      <c r="G32" s="300">
        <f>'6. WET'!G21</f>
        <v>0</v>
      </c>
      <c r="H32" s="300">
        <f>'7. CFTN'!G21</f>
        <v>0</v>
      </c>
      <c r="I32" s="298">
        <f t="shared" si="0"/>
        <v>5996519.5200000005</v>
      </c>
      <c r="J32" s="99"/>
      <c r="K32" s="99"/>
      <c r="L32" s="99"/>
    </row>
    <row r="33" spans="1:12" x14ac:dyDescent="0.25">
      <c r="A33" s="99"/>
      <c r="B33" s="286">
        <v>11</v>
      </c>
      <c r="C33" s="303" t="s">
        <v>5</v>
      </c>
      <c r="D33" s="300">
        <f>'3. CSS'!H27</f>
        <v>0</v>
      </c>
      <c r="E33" s="300">
        <f>'4. PEI'!H22</f>
        <v>0</v>
      </c>
      <c r="F33" s="300">
        <f>'5. INN'!H23</f>
        <v>0</v>
      </c>
      <c r="G33" s="300">
        <f>'6. WET'!H21</f>
        <v>0</v>
      </c>
      <c r="H33" s="300">
        <f>'7. CFTN'!H21</f>
        <v>0</v>
      </c>
      <c r="I33" s="298">
        <f t="shared" si="0"/>
        <v>0</v>
      </c>
      <c r="J33" s="99"/>
      <c r="K33" s="99"/>
      <c r="L33" s="99"/>
    </row>
    <row r="34" spans="1:12" x14ac:dyDescent="0.25">
      <c r="A34" s="99"/>
      <c r="B34" s="286">
        <v>12</v>
      </c>
      <c r="C34" s="303" t="s">
        <v>24</v>
      </c>
      <c r="D34" s="300">
        <f>'3. CSS'!I27</f>
        <v>0</v>
      </c>
      <c r="E34" s="300">
        <f>'4. PEI'!I22</f>
        <v>0</v>
      </c>
      <c r="F34" s="300">
        <f>'5. INN'!I23</f>
        <v>0</v>
      </c>
      <c r="G34" s="300">
        <f>'6. WET'!I21</f>
        <v>0</v>
      </c>
      <c r="H34" s="300">
        <f>'7. CFTN'!I21</f>
        <v>0</v>
      </c>
      <c r="I34" s="298">
        <f t="shared" si="0"/>
        <v>0</v>
      </c>
      <c r="J34" s="99"/>
      <c r="K34" s="99"/>
      <c r="L34" s="99"/>
    </row>
    <row r="35" spans="1:12" x14ac:dyDescent="0.25">
      <c r="A35" s="99"/>
      <c r="B35" s="286">
        <v>13</v>
      </c>
      <c r="C35" s="303" t="s">
        <v>12</v>
      </c>
      <c r="D35" s="300">
        <f>'3. CSS'!J27</f>
        <v>481922.7</v>
      </c>
      <c r="E35" s="300">
        <f>'4. PEI'!J22</f>
        <v>89438.09</v>
      </c>
      <c r="F35" s="300">
        <f>'5. INN'!J23</f>
        <v>0</v>
      </c>
      <c r="G35" s="300">
        <f>'6. WET'!J21</f>
        <v>53339.68</v>
      </c>
      <c r="H35" s="300">
        <f>'7. CFTN'!J21</f>
        <v>0</v>
      </c>
      <c r="I35" s="298">
        <f t="shared" si="0"/>
        <v>624700.47000000009</v>
      </c>
      <c r="J35" s="99"/>
      <c r="K35" s="99"/>
      <c r="L35" s="99"/>
    </row>
    <row r="36" spans="1:12" ht="15.6" x14ac:dyDescent="0.3">
      <c r="A36" s="99"/>
      <c r="B36" s="286">
        <v>14</v>
      </c>
      <c r="C36" s="304" t="s">
        <v>21</v>
      </c>
      <c r="D36" s="305">
        <f>SUM(D31:D35)</f>
        <v>30154887.289999999</v>
      </c>
      <c r="E36" s="305">
        <f t="shared" ref="E36:H36" si="1">SUM(E31:E35)</f>
        <v>4337577.63</v>
      </c>
      <c r="F36" s="305">
        <f t="shared" si="1"/>
        <v>1647031.5399999998</v>
      </c>
      <c r="G36" s="305">
        <f t="shared" si="1"/>
        <v>534309.81000000006</v>
      </c>
      <c r="H36" s="305">
        <f t="shared" si="1"/>
        <v>1325945.94</v>
      </c>
      <c r="I36" s="306">
        <f>SUM(D36:H36)</f>
        <v>37999752.210000001</v>
      </c>
      <c r="J36" s="99"/>
      <c r="K36" s="99"/>
      <c r="L36" s="99"/>
    </row>
    <row r="37" spans="1:12" x14ac:dyDescent="0.25">
      <c r="A37" s="99"/>
      <c r="B37" s="96"/>
      <c r="C37" s="96"/>
      <c r="D37" s="96"/>
      <c r="E37" s="96"/>
      <c r="F37" s="96"/>
      <c r="G37" s="96"/>
      <c r="H37" s="96"/>
      <c r="I37" s="96"/>
      <c r="J37" s="99"/>
      <c r="K37" s="99"/>
      <c r="L37" s="99"/>
    </row>
    <row r="38" spans="1:12" ht="15.6" x14ac:dyDescent="0.3">
      <c r="A38" s="99"/>
      <c r="B38" s="97"/>
      <c r="C38" s="2"/>
      <c r="D38" s="286" t="s">
        <v>22</v>
      </c>
      <c r="E38" s="96"/>
      <c r="F38" s="108"/>
      <c r="G38" s="15"/>
      <c r="H38" s="97"/>
      <c r="I38" s="97"/>
      <c r="J38" s="99"/>
      <c r="K38" s="99"/>
      <c r="L38" s="99"/>
    </row>
    <row r="39" spans="1:12" ht="15.6" x14ac:dyDescent="0.3">
      <c r="A39" s="99"/>
      <c r="B39" s="308" t="s">
        <v>713</v>
      </c>
      <c r="C39" s="130"/>
      <c r="D39" s="288" t="s">
        <v>21</v>
      </c>
      <c r="E39" s="109"/>
      <c r="F39" s="15"/>
      <c r="G39" s="97"/>
      <c r="H39" s="97"/>
      <c r="I39" s="99"/>
      <c r="J39" s="99"/>
      <c r="K39" s="99"/>
      <c r="L39" s="99"/>
    </row>
    <row r="40" spans="1:12" ht="15.6" x14ac:dyDescent="0.3">
      <c r="A40" s="99"/>
      <c r="B40" s="309">
        <v>15</v>
      </c>
      <c r="C40" s="310" t="s">
        <v>18</v>
      </c>
      <c r="D40" s="311">
        <f>'3. CSS'!K15+'4. PEI'!K15+'5. INN'!K15+'6. WET'!K15+'7. CFTN'!K15</f>
        <v>132808.44</v>
      </c>
      <c r="E40" s="110"/>
      <c r="F40" s="97"/>
      <c r="G40" s="96"/>
      <c r="H40" s="97"/>
      <c r="I40" s="99"/>
      <c r="J40" s="99"/>
      <c r="K40" s="99"/>
      <c r="L40" s="99"/>
    </row>
    <row r="41" spans="1:12" ht="15.6" x14ac:dyDescent="0.3">
      <c r="A41" s="99"/>
      <c r="B41" s="309">
        <v>16</v>
      </c>
      <c r="C41" s="310" t="s">
        <v>19</v>
      </c>
      <c r="D41" s="311">
        <f>'3. CSS'!F16+'4. PEI'!F16+'5. INN'!F20+'6. WET'!F16+'7. CFTN'!F16</f>
        <v>191402.11</v>
      </c>
      <c r="E41" s="98"/>
      <c r="F41" s="97"/>
      <c r="G41" s="97"/>
      <c r="H41" s="97"/>
      <c r="I41" s="99"/>
      <c r="J41" s="99"/>
      <c r="K41" s="99"/>
      <c r="L41" s="99"/>
    </row>
    <row r="42" spans="1:12" ht="15.6" x14ac:dyDescent="0.3">
      <c r="A42" s="99"/>
      <c r="B42" s="309">
        <v>17</v>
      </c>
      <c r="C42" s="310" t="s">
        <v>20</v>
      </c>
      <c r="D42" s="312">
        <f>'3. CSS'!F17+'4. PEI'!F17+'5. INN'!F16+'5. INN'!F19+'6. WET'!F17+'7. CFTN'!F17</f>
        <v>3784589.9300000006</v>
      </c>
      <c r="E42" s="98"/>
      <c r="F42" s="97"/>
      <c r="G42" s="97"/>
      <c r="H42" s="97"/>
      <c r="I42" s="99"/>
      <c r="J42" s="99"/>
      <c r="K42" s="99"/>
      <c r="L42" s="99"/>
    </row>
    <row r="43" spans="1:12" ht="15.6" x14ac:dyDescent="0.3">
      <c r="A43" s="99"/>
      <c r="B43" s="309">
        <v>18</v>
      </c>
      <c r="C43" s="313" t="s">
        <v>237</v>
      </c>
      <c r="D43" s="183">
        <v>0</v>
      </c>
      <c r="E43" s="96"/>
      <c r="F43" s="96"/>
      <c r="G43" s="96"/>
      <c r="H43" s="96"/>
      <c r="I43" s="96"/>
      <c r="J43" s="99"/>
      <c r="K43" s="99"/>
      <c r="L43" s="99"/>
    </row>
    <row r="44" spans="1:12" ht="15.6" x14ac:dyDescent="0.3">
      <c r="A44" s="99"/>
      <c r="B44" s="309">
        <v>19</v>
      </c>
      <c r="C44" s="310" t="s">
        <v>238</v>
      </c>
      <c r="D44" s="314">
        <f>'4. PEI'!F18</f>
        <v>0</v>
      </c>
      <c r="E44" s="96"/>
      <c r="F44" s="96"/>
      <c r="G44" s="96"/>
      <c r="H44" s="96"/>
      <c r="I44" s="96"/>
      <c r="J44" s="99"/>
      <c r="K44" s="99"/>
      <c r="L44" s="99"/>
    </row>
    <row r="45" spans="1:12" ht="15.6" x14ac:dyDescent="0.3">
      <c r="A45" s="99"/>
      <c r="B45" s="309">
        <v>20</v>
      </c>
      <c r="C45" s="313" t="s">
        <v>239</v>
      </c>
      <c r="D45" s="183">
        <v>0</v>
      </c>
      <c r="E45" s="96"/>
      <c r="F45" s="96"/>
      <c r="G45" s="96"/>
      <c r="H45" s="96"/>
      <c r="I45" s="96"/>
      <c r="J45" s="99"/>
      <c r="K45" s="99"/>
      <c r="L45" s="99"/>
    </row>
    <row r="46" spans="1:12" ht="15.6" x14ac:dyDescent="0.3">
      <c r="A46" s="99"/>
      <c r="B46" s="309">
        <v>21</v>
      </c>
      <c r="C46" s="313" t="s">
        <v>242</v>
      </c>
      <c r="D46" s="183">
        <v>629684.93999999994</v>
      </c>
      <c r="E46" s="110"/>
      <c r="F46" s="96"/>
      <c r="G46" s="96"/>
      <c r="H46" s="96"/>
      <c r="I46" s="96"/>
      <c r="J46" s="99"/>
      <c r="K46" s="99"/>
      <c r="L46" s="99"/>
    </row>
    <row r="47" spans="1:12" ht="15.6" x14ac:dyDescent="0.3">
      <c r="A47" s="99"/>
      <c r="B47" s="286">
        <v>22</v>
      </c>
      <c r="C47" s="315" t="s">
        <v>712</v>
      </c>
      <c r="D47" s="183">
        <v>0</v>
      </c>
      <c r="E47" s="96"/>
      <c r="F47" s="96"/>
      <c r="G47" s="96"/>
      <c r="H47" s="96"/>
      <c r="I47" s="96"/>
      <c r="J47" s="99"/>
      <c r="K47" s="99"/>
      <c r="L47" s="99"/>
    </row>
    <row r="48" spans="1:12" ht="15.6" hidden="1" x14ac:dyDescent="0.3">
      <c r="A48" s="99"/>
      <c r="B48" s="109"/>
      <c r="C48" s="2"/>
      <c r="D48" s="184"/>
      <c r="E48" s="96"/>
      <c r="F48" s="96"/>
      <c r="G48" s="96"/>
      <c r="H48" s="96"/>
      <c r="I48" s="96"/>
      <c r="J48" s="99"/>
      <c r="K48" s="99"/>
      <c r="L48" s="99"/>
    </row>
  </sheetData>
  <sheetProtection algorithmName="SHA-512" hashValue="xaXJsH1sT9iwz6q0od2qeHAn1N1ZTZugWu+HJ+mXe+Q7k0Tep92p7kOsp+3f+Eqo0HHQfDoRJO2/loJiDBQqmA==" saltValue="6k9EzrxAzziLBCeJZbK0kw==" spinCount="100000" sheet="1" objects="1" scenarios="1" selectLockedCells="1"/>
  <customSheetViews>
    <customSheetView guid="{E7E6A24F-BA49-4C7A-9CED-3AB8F60308A1}" scale="85" showGridLines="0" printArea="1" topLeftCell="A2">
      <selection activeCell="G20" sqref="G20"/>
      <rowBreaks count="1" manualBreakCount="1">
        <brk id="36" min="1" max="8" man="1"/>
      </rowBreaks>
      <pageMargins left="0.25" right="0.25" top="0.75" bottom="0.75" header="0.3" footer="0.3"/>
      <pageSetup paperSize="5" scale="73" fitToWidth="0" fitToHeight="0" orientation="landscape" r:id="rId1"/>
      <headerFooter>
        <oddFooter>&amp;C&amp;"Arial,Regular"&amp;14Page &amp;P of &amp;N</oddFooter>
      </headerFooter>
    </customSheetView>
    <customSheetView guid="{7E50CCF5-45D0-4F7B-8896-9BA64DCA8A01}" scale="85" showGridLines="0">
      <selection activeCell="G18" sqref="G18"/>
      <rowBreaks count="1" manualBreakCount="1">
        <brk id="36" min="1" max="8" man="1"/>
      </rowBreaks>
      <pageMargins left="0.25" right="0.25" top="0.75" bottom="0.75" header="0.3" footer="0.3"/>
      <pageSetup paperSize="5" scale="73" fitToWidth="0" fitToHeight="0" orientation="landscape" r:id="rId2"/>
      <headerFooter>
        <oddFooter>&amp;C&amp;"Arial,Regular"&amp;14Page &amp;P of &amp;N</oddFooter>
      </headerFooter>
    </customSheetView>
    <customSheetView guid="{D8D3A042-2CA2-4641-BB44-BC182917D730}" scale="85" showGridLines="0" printArea="1">
      <selection activeCell="C27" sqref="C27"/>
      <rowBreaks count="1" manualBreakCount="1">
        <brk id="36" min="1" max="8" man="1"/>
      </rowBreaks>
      <pageMargins left="0.25" right="0.25" top="0.75" bottom="0.75" header="0.3" footer="0.3"/>
      <pageSetup paperSize="5" scale="73" fitToWidth="0" fitToHeight="0" orientation="landscape" r:id="rId3"/>
      <headerFooter>
        <oddFooter>&amp;C&amp;"Arial,Regular"&amp;14Page &amp;P of &amp;N</oddFooter>
      </headerFooter>
    </customSheetView>
  </customSheetViews>
  <conditionalFormatting sqref="E46">
    <cfRule type="containsText" dxfId="3" priority="3" operator="containsText" text="ERROR">
      <formula>NOT(ISERROR(SEARCH("ERROR",E46)))</formula>
    </cfRule>
    <cfRule type="containsText" dxfId="2" priority="4" operator="containsText" text="OK">
      <formula>NOT(ISERROR(SEARCH("OK",E46)))</formula>
    </cfRule>
  </conditionalFormatting>
  <dataValidations count="21">
    <dataValidation type="whole" operator="lessThanOrEqual" showInputMessage="1" showErrorMessage="1" errorTitle="Prudent Reserve Balance Exceeded" error="Combined transfers to CSS &amp; PEI cannot exceed total available Prudent Reserve (PR), (Unspent PR +Interest earned this Fiscal Year). Enter whole numbers only. " sqref="D22" xr:uid="{00000000-0002-0000-0300-000000000000}">
      <formula1>D20-E22</formula1>
    </dataValidation>
    <dataValidation type="whole" operator="lessThanOrEqual" showInputMessage="1" showErrorMessage="1" errorTitle="Prudent Reserve Balance Exceeded" error="Combined transfers to CSS &amp; PEI cannot exceed total available Prudent Reserve (PR), (Unspent PR +Interest earned this Fiscal Year). Enter whole numbers only. " sqref="E22" xr:uid="{00000000-0002-0000-0300-000001000000}">
      <formula1>D20-D22</formula1>
    </dataValidation>
    <dataValidation type="whole" operator="lessThanOrEqual" showInputMessage="1" showErrorMessage="1" errorTitle="Prudent Reserve Balance Exceeded" error="Combined transfers to CSS &amp; PEI cannot exceed total available Prudent Reserve (PR), (Unspent PR +Interest earned this Fiscal Year). Enter whole numbers only. " prompt="Type in the amount of Transfer from Local Prudent Reserve for CSS." sqref="D20" xr:uid="{00000000-0002-0000-0300-000002000000}">
      <formula1>F19-E20</formula1>
    </dataValidation>
    <dataValidation allowBlank="1" showInputMessage="1" showErrorMessage="1" prompt="Type in county name. " sqref="C9" xr:uid="{00000000-0002-0000-0300-000003000000}"/>
    <dataValidation allowBlank="1" showInputMessage="1" showErrorMessage="1" prompt="Type in date. " sqref="G9" xr:uid="{00000000-0002-0000-0300-000004000000}"/>
    <dataValidation allowBlank="1" showInputMessage="1" showErrorMessage="1" prompt="Type in the amount of Component Interest Earned for CSS." sqref="D14" xr:uid="{00000000-0002-0000-0300-000005000000}"/>
    <dataValidation allowBlank="1" showInputMessage="1" showErrorMessage="1" prompt="Type in the amount of Component Interest Earned for PEI." sqref="E14" xr:uid="{00000000-0002-0000-0300-000006000000}"/>
    <dataValidation allowBlank="1" showInputMessage="1" showErrorMessage="1" prompt="Type in the amount of Component Interest Earned for INN." sqref="F14" xr:uid="{00000000-0002-0000-0300-000007000000}"/>
    <dataValidation allowBlank="1" showInputMessage="1" showErrorMessage="1" prompt="Type in the amount of Component Interest Earned for WET." sqref="G14" xr:uid="{00000000-0002-0000-0300-000008000000}"/>
    <dataValidation allowBlank="1" showInputMessage="1" showErrorMessage="1" prompt="Type in the amount of Component Interest Earned for CFTN." sqref="H14" xr:uid="{00000000-0002-0000-0300-000009000000}"/>
    <dataValidation allowBlank="1" showInputMessage="1" showErrorMessage="1" prompt="Type in the Joint Powers Authority Interest Earned for CSS. " sqref="D15" xr:uid="{00000000-0002-0000-0300-00000A000000}"/>
    <dataValidation allowBlank="1" showInputMessage="1" showErrorMessage="1" prompt="Type in the Joint Powers Authority Interest Earned for PEI. " sqref="E15" xr:uid="{00000000-0002-0000-0300-00000B000000}"/>
    <dataValidation allowBlank="1" showInputMessage="1" showErrorMessage="1" prompt="Type in the Joint Powers Authority Interest Earned for INN. " sqref="F15" xr:uid="{00000000-0002-0000-0300-00000C000000}"/>
    <dataValidation allowBlank="1" showInputMessage="1" showErrorMessage="1" prompt="Type in the Joint Powers Authority Interest Earned for WET. " sqref="G15" xr:uid="{00000000-0002-0000-0300-00000D000000}"/>
    <dataValidation allowBlank="1" showInputMessage="1" showErrorMessage="1" prompt="Type in the Joint Powers Authority Interest Earned for CFTN. " sqref="H15" xr:uid="{00000000-0002-0000-0300-00000E000000}"/>
    <dataValidation allowBlank="1" showInputMessage="1" showErrorMessage="1" prompt="Type in the TOTAL for the Local Prudent Reserve Beginning Balance. " sqref="F19" xr:uid="{00000000-0002-0000-0300-00000F000000}"/>
    <dataValidation allowBlank="1" showInputMessage="1" showErrorMessage="1" prompt="Type in the Total WET RP." sqref="D43" xr:uid="{A5C3B678-5F8C-4488-B2B7-FD9DC5779FC2}"/>
    <dataValidation allowBlank="1" showInputMessage="1" showErrorMessage="1" prompt="Type in the Total MHSA HP." sqref="D45" xr:uid="{840FF00D-BE3F-4AFF-BE4B-9D1AC38F153D}"/>
    <dataValidation type="whole" operator="lessThanOrEqual" showInputMessage="1" showErrorMessage="1" errorTitle="Prudent Reserve Balance Exceeded" error="Combined transfers to CSS &amp; PEI cannot exceed total available Prudent Reserve (PR), (Unspent PR +Interest earned this Fiscal Year). Enter whole numbers only. " prompt="Type in the amount of Transfer from Local Prudent Reserve for PEI." sqref="E20" xr:uid="{00000000-0002-0000-0300-000013000000}">
      <formula1>G19-F20</formula1>
    </dataValidation>
    <dataValidation allowBlank="1" showInputMessage="1" showErrorMessage="1" prompt="Type in the amount for the Total Mental Health Services for Veterans. " sqref="D46 D48" xr:uid="{FC2413D8-584C-4213-A0BF-0A0CC9868737}"/>
    <dataValidation allowBlank="1" showInputMessage="1" showErrorMessage="1" prompt="Type in the amount for the Total MHSA IGT Transfers." sqref="D47" xr:uid="{C3A64B5D-3CAC-4D43-B416-BC8AE67D27D3}"/>
  </dataValidations>
  <pageMargins left="0.25" right="0.25" top="0.75" bottom="0.75" header="0.3" footer="0.3"/>
  <pageSetup paperSize="5" scale="73" fitToWidth="0" fitToHeight="0" orientation="landscape" r:id="rId4"/>
  <headerFooter>
    <oddFooter>&amp;C&amp;"Arial,Regular"&amp;14Page &amp;P of &amp;N</oddFooter>
  </headerFooter>
  <rowBreaks count="1" manualBreakCount="1">
    <brk id="36" min="1" max="8"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81"/>
  <sheetViews>
    <sheetView topLeftCell="A53" zoomScaleNormal="100" workbookViewId="0">
      <selection activeCell="A77" sqref="A77"/>
    </sheetView>
  </sheetViews>
  <sheetFormatPr defaultColWidth="0" defaultRowHeight="14.4" zeroHeight="1" x14ac:dyDescent="0.3"/>
  <cols>
    <col min="1" max="1" width="128.109375" style="174" customWidth="1"/>
    <col min="2" max="6" width="9.109375" style="174" hidden="1" customWidth="1"/>
    <col min="7" max="16384" width="9.109375" style="174" hidden="1"/>
  </cols>
  <sheetData>
    <row r="1" spans="1:1" ht="13.5" customHeight="1" x14ac:dyDescent="0.3">
      <c r="A1" s="211" t="s">
        <v>596</v>
      </c>
    </row>
    <row r="2" spans="1:1" ht="15.6" x14ac:dyDescent="0.3">
      <c r="A2" s="172" t="s">
        <v>305</v>
      </c>
    </row>
    <row r="3" spans="1:1" ht="15.6" x14ac:dyDescent="0.3">
      <c r="A3" s="172" t="s">
        <v>304</v>
      </c>
    </row>
    <row r="4" spans="1:1" ht="15.6" x14ac:dyDescent="0.3">
      <c r="A4" s="212" t="s">
        <v>306</v>
      </c>
    </row>
    <row r="5" spans="1:1" ht="15.6" x14ac:dyDescent="0.3">
      <c r="A5" s="173" t="s">
        <v>307</v>
      </c>
    </row>
    <row r="6" spans="1:1" ht="15.6" x14ac:dyDescent="0.3">
      <c r="A6" s="173" t="s">
        <v>308</v>
      </c>
    </row>
    <row r="7" spans="1:1" ht="15.6" x14ac:dyDescent="0.3">
      <c r="A7" s="173" t="s">
        <v>309</v>
      </c>
    </row>
    <row r="8" spans="1:1" ht="15.6" x14ac:dyDescent="0.3">
      <c r="A8" s="173" t="s">
        <v>310</v>
      </c>
    </row>
    <row r="9" spans="1:1" ht="15.6" x14ac:dyDescent="0.3">
      <c r="A9" s="173" t="s">
        <v>562</v>
      </c>
    </row>
    <row r="10" spans="1:1" ht="60" x14ac:dyDescent="0.3">
      <c r="A10" s="213" t="s">
        <v>311</v>
      </c>
    </row>
    <row r="11" spans="1:1" ht="30.6" x14ac:dyDescent="0.3">
      <c r="A11" s="173" t="s">
        <v>312</v>
      </c>
    </row>
    <row r="12" spans="1:1" ht="30.6" x14ac:dyDescent="0.3">
      <c r="A12" s="173" t="s">
        <v>313</v>
      </c>
    </row>
    <row r="13" spans="1:1" ht="30.6" x14ac:dyDescent="0.3">
      <c r="A13" s="173" t="s">
        <v>314</v>
      </c>
    </row>
    <row r="14" spans="1:1" ht="30.6" x14ac:dyDescent="0.3">
      <c r="A14" s="173" t="s">
        <v>315</v>
      </c>
    </row>
    <row r="15" spans="1:1" ht="30.6" x14ac:dyDescent="0.3">
      <c r="A15" s="173" t="s">
        <v>316</v>
      </c>
    </row>
    <row r="16" spans="1:1" ht="15.6" x14ac:dyDescent="0.3">
      <c r="A16" s="173" t="s">
        <v>406</v>
      </c>
    </row>
    <row r="17" spans="1:1" ht="15.6" x14ac:dyDescent="0.3">
      <c r="A17" s="172" t="s">
        <v>317</v>
      </c>
    </row>
    <row r="18" spans="1:1" ht="15.6" x14ac:dyDescent="0.3">
      <c r="A18" s="172" t="s">
        <v>318</v>
      </c>
    </row>
    <row r="19" spans="1:1" ht="30.6" x14ac:dyDescent="0.3">
      <c r="A19" s="172" t="s">
        <v>319</v>
      </c>
    </row>
    <row r="20" spans="1:1" ht="15.6" x14ac:dyDescent="0.3">
      <c r="A20" s="172" t="s">
        <v>320</v>
      </c>
    </row>
    <row r="21" spans="1:1" ht="15.6" x14ac:dyDescent="0.3">
      <c r="A21" s="172" t="s">
        <v>321</v>
      </c>
    </row>
    <row r="22" spans="1:1" ht="15.6" x14ac:dyDescent="0.3">
      <c r="A22" s="172" t="s">
        <v>577</v>
      </c>
    </row>
    <row r="23" spans="1:1" ht="15.6" x14ac:dyDescent="0.3">
      <c r="A23" s="214" t="s">
        <v>730</v>
      </c>
    </row>
    <row r="24" spans="1:1" ht="15.6" x14ac:dyDescent="0.3">
      <c r="A24" s="172" t="s">
        <v>322</v>
      </c>
    </row>
    <row r="25" spans="1:1" ht="15.6" x14ac:dyDescent="0.3">
      <c r="A25" s="214" t="s">
        <v>731</v>
      </c>
    </row>
    <row r="26" spans="1:1" ht="15.6" x14ac:dyDescent="0.3">
      <c r="A26" s="172" t="s">
        <v>323</v>
      </c>
    </row>
    <row r="27" spans="1:1" ht="15.6" x14ac:dyDescent="0.3">
      <c r="A27" s="172" t="s">
        <v>324</v>
      </c>
    </row>
    <row r="28" spans="1:1" ht="15" customHeight="1" x14ac:dyDescent="0.3">
      <c r="A28" s="214" t="s">
        <v>732</v>
      </c>
    </row>
    <row r="29" spans="1:1" ht="15" customHeight="1" x14ac:dyDescent="0.3">
      <c r="A29" s="172" t="s">
        <v>325</v>
      </c>
    </row>
    <row r="30" spans="1:1" ht="15" customHeight="1" x14ac:dyDescent="0.3">
      <c r="A30" s="172" t="s">
        <v>326</v>
      </c>
    </row>
    <row r="31" spans="1:1" ht="30.6" x14ac:dyDescent="0.3">
      <c r="A31" s="172" t="s">
        <v>585</v>
      </c>
    </row>
    <row r="32" spans="1:1" ht="30.6" x14ac:dyDescent="0.3">
      <c r="A32" s="214" t="s">
        <v>733</v>
      </c>
    </row>
    <row r="33" spans="1:1" ht="15.6" x14ac:dyDescent="0.3">
      <c r="A33" s="172" t="s">
        <v>327</v>
      </c>
    </row>
    <row r="34" spans="1:1" ht="15.6" x14ac:dyDescent="0.3">
      <c r="A34" s="172" t="s">
        <v>328</v>
      </c>
    </row>
    <row r="35" spans="1:1" ht="15.6" x14ac:dyDescent="0.3">
      <c r="A35" s="172" t="s">
        <v>329</v>
      </c>
    </row>
    <row r="36" spans="1:1" ht="15.6" x14ac:dyDescent="0.3">
      <c r="A36" s="172" t="s">
        <v>330</v>
      </c>
    </row>
    <row r="37" spans="1:1" ht="15.6" x14ac:dyDescent="0.3">
      <c r="A37" s="172" t="s">
        <v>331</v>
      </c>
    </row>
    <row r="38" spans="1:1" ht="15.6" x14ac:dyDescent="0.3">
      <c r="A38" s="172" t="s">
        <v>332</v>
      </c>
    </row>
    <row r="39" spans="1:1" ht="15.6" x14ac:dyDescent="0.3">
      <c r="A39" s="172" t="s">
        <v>333</v>
      </c>
    </row>
    <row r="40" spans="1:1" ht="15.6" x14ac:dyDescent="0.3">
      <c r="A40" s="172" t="s">
        <v>334</v>
      </c>
    </row>
    <row r="41" spans="1:1" ht="15.6" x14ac:dyDescent="0.3">
      <c r="A41" s="172" t="s">
        <v>335</v>
      </c>
    </row>
    <row r="42" spans="1:1" ht="15.6" x14ac:dyDescent="0.3">
      <c r="A42" s="172" t="s">
        <v>336</v>
      </c>
    </row>
    <row r="43" spans="1:1" ht="15.6" x14ac:dyDescent="0.3">
      <c r="A43" s="172" t="s">
        <v>337</v>
      </c>
    </row>
    <row r="44" spans="1:1" ht="15.6" x14ac:dyDescent="0.3">
      <c r="A44" s="172" t="s">
        <v>338</v>
      </c>
    </row>
    <row r="45" spans="1:1" ht="15.6" x14ac:dyDescent="0.3">
      <c r="A45" s="172" t="s">
        <v>339</v>
      </c>
    </row>
    <row r="46" spans="1:1" ht="15.6" x14ac:dyDescent="0.3">
      <c r="A46" s="172" t="s">
        <v>340</v>
      </c>
    </row>
    <row r="47" spans="1:1" ht="15.6" x14ac:dyDescent="0.3">
      <c r="A47" s="172" t="s">
        <v>341</v>
      </c>
    </row>
    <row r="48" spans="1:1" ht="15.6" x14ac:dyDescent="0.3">
      <c r="A48" s="172" t="s">
        <v>342</v>
      </c>
    </row>
    <row r="49" spans="1:1" ht="15.6" x14ac:dyDescent="0.3">
      <c r="A49" s="172" t="s">
        <v>343</v>
      </c>
    </row>
    <row r="50" spans="1:1" ht="15.6" x14ac:dyDescent="0.3">
      <c r="A50" s="172" t="s">
        <v>344</v>
      </c>
    </row>
    <row r="51" spans="1:1" ht="15.6" x14ac:dyDescent="0.3">
      <c r="A51" s="172" t="s">
        <v>345</v>
      </c>
    </row>
    <row r="52" spans="1:1" ht="15.6" x14ac:dyDescent="0.3">
      <c r="A52" s="172" t="s">
        <v>346</v>
      </c>
    </row>
    <row r="53" spans="1:1" ht="15.6" x14ac:dyDescent="0.3">
      <c r="A53" s="172" t="s">
        <v>347</v>
      </c>
    </row>
    <row r="54" spans="1:1" ht="15.6" x14ac:dyDescent="0.3">
      <c r="A54" s="172" t="s">
        <v>348</v>
      </c>
    </row>
    <row r="55" spans="1:1" ht="15.6" x14ac:dyDescent="0.3">
      <c r="A55" s="172" t="s">
        <v>349</v>
      </c>
    </row>
    <row r="56" spans="1:1" ht="15.6" x14ac:dyDescent="0.3">
      <c r="A56" s="172" t="s">
        <v>350</v>
      </c>
    </row>
    <row r="57" spans="1:1" ht="15.6" x14ac:dyDescent="0.3">
      <c r="A57" s="172" t="s">
        <v>351</v>
      </c>
    </row>
    <row r="58" spans="1:1" ht="15.6" x14ac:dyDescent="0.3">
      <c r="A58" s="172" t="s">
        <v>352</v>
      </c>
    </row>
    <row r="59" spans="1:1" ht="15.6" x14ac:dyDescent="0.3">
      <c r="A59" s="172" t="s">
        <v>353</v>
      </c>
    </row>
    <row r="60" spans="1:1" ht="15.6" x14ac:dyDescent="0.3">
      <c r="A60" s="172" t="s">
        <v>354</v>
      </c>
    </row>
    <row r="61" spans="1:1" ht="15.6" x14ac:dyDescent="0.3">
      <c r="A61" s="172" t="s">
        <v>355</v>
      </c>
    </row>
    <row r="62" spans="1:1" ht="15.6" x14ac:dyDescent="0.3">
      <c r="A62" s="172" t="s">
        <v>356</v>
      </c>
    </row>
    <row r="63" spans="1:1" ht="15.6" x14ac:dyDescent="0.3">
      <c r="A63" s="172" t="s">
        <v>357</v>
      </c>
    </row>
    <row r="64" spans="1:1" ht="15.6" x14ac:dyDescent="0.3">
      <c r="A64" s="172" t="s">
        <v>358</v>
      </c>
    </row>
    <row r="65" spans="1:1" ht="15.6" x14ac:dyDescent="0.3">
      <c r="A65" s="172" t="s">
        <v>359</v>
      </c>
    </row>
    <row r="66" spans="1:1" ht="15.6" x14ac:dyDescent="0.3">
      <c r="A66" s="172" t="s">
        <v>360</v>
      </c>
    </row>
    <row r="67" spans="1:1" ht="15.6" x14ac:dyDescent="0.3">
      <c r="A67" s="172" t="s">
        <v>361</v>
      </c>
    </row>
    <row r="68" spans="1:1" ht="15.6" x14ac:dyDescent="0.3">
      <c r="A68" s="172" t="s">
        <v>362</v>
      </c>
    </row>
    <row r="69" spans="1:1" ht="15.6" x14ac:dyDescent="0.3">
      <c r="A69" s="172" t="s">
        <v>363</v>
      </c>
    </row>
    <row r="70" spans="1:1" ht="15.6" x14ac:dyDescent="0.3">
      <c r="A70" s="172" t="s">
        <v>364</v>
      </c>
    </row>
    <row r="71" spans="1:1" ht="15.6" x14ac:dyDescent="0.3">
      <c r="A71" s="172" t="s">
        <v>365</v>
      </c>
    </row>
    <row r="72" spans="1:1" ht="15.6" x14ac:dyDescent="0.3">
      <c r="A72" s="172" t="s">
        <v>366</v>
      </c>
    </row>
    <row r="73" spans="1:1" ht="15.6" x14ac:dyDescent="0.3">
      <c r="A73" s="172" t="s">
        <v>578</v>
      </c>
    </row>
    <row r="74" spans="1:1" ht="45.75" customHeight="1" x14ac:dyDescent="0.3">
      <c r="A74" s="172" t="s">
        <v>367</v>
      </c>
    </row>
    <row r="75" spans="1:1" ht="47.25" customHeight="1" x14ac:dyDescent="0.3">
      <c r="A75" s="172" t="s">
        <v>368</v>
      </c>
    </row>
    <row r="76" spans="1:1" ht="49.5" customHeight="1" x14ac:dyDescent="0.3">
      <c r="A76" s="172" t="s">
        <v>369</v>
      </c>
    </row>
    <row r="77" spans="1:1" ht="30.6" x14ac:dyDescent="0.3">
      <c r="A77" s="172" t="s">
        <v>370</v>
      </c>
    </row>
    <row r="78" spans="1:1" ht="15.6" x14ac:dyDescent="0.3">
      <c r="A78" s="172" t="s">
        <v>579</v>
      </c>
    </row>
    <row r="79" spans="1:1" ht="60.6" x14ac:dyDescent="0.3">
      <c r="A79" s="214" t="s">
        <v>717</v>
      </c>
    </row>
    <row r="80" spans="1:1" ht="60.6" x14ac:dyDescent="0.3">
      <c r="A80" s="172" t="s">
        <v>371</v>
      </c>
    </row>
    <row r="81" spans="1:1" s="216" customFormat="1" ht="30.6" x14ac:dyDescent="0.3">
      <c r="A81" s="215" t="s">
        <v>738</v>
      </c>
    </row>
  </sheetData>
  <sheetProtection algorithmName="SHA-512" hashValue="BnLmmABuZztUVH/pPBqTNbOmuj4mwPTyxVjMvfVIEHRW61kPS+lquFBZPds0qi1AUz5ggPatZip7vyMSCQ7Uww==" saltValue="aHeUsNBJKUXiJQcKLL7Ngg==" spinCount="100000" sheet="1" objects="1" scenarios="1" selectLockedCells="1"/>
  <pageMargins left="0.7" right="0.7" top="0.75" bottom="0.75" header="0.3" footer="0.3"/>
  <pageSetup orientation="portrait" r:id="rId1"/>
  <rowBreaks count="1" manualBreakCount="1">
    <brk id="3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pageSetUpPr autoPageBreaks="0"/>
  </sheetPr>
  <dimension ref="A1:XFC135"/>
  <sheetViews>
    <sheetView showGridLines="0" topLeftCell="A37" zoomScale="73" zoomScaleNormal="73" zoomScaleSheetLayoutView="40" zoomScalePageLayoutView="70" workbookViewId="0">
      <selection activeCell="A53" sqref="A53"/>
    </sheetView>
  </sheetViews>
  <sheetFormatPr defaultColWidth="0" defaultRowHeight="15.6" zeroHeight="1" x14ac:dyDescent="0.3"/>
  <cols>
    <col min="1" max="1" width="2.6640625" style="269" customWidth="1"/>
    <col min="2" max="2" width="6.6640625" style="269" customWidth="1"/>
    <col min="3" max="3" width="13.5546875" style="269" customWidth="1"/>
    <col min="4" max="4" width="50.6640625" style="191" customWidth="1"/>
    <col min="5" max="5" width="33.44140625" style="191" customWidth="1"/>
    <col min="6" max="6" width="20.88671875" style="191" bestFit="1" customWidth="1"/>
    <col min="7" max="7" width="27.5546875" style="185" bestFit="1" customWidth="1"/>
    <col min="8" max="8" width="21.5546875" style="191" customWidth="1"/>
    <col min="9" max="9" width="24.44140625" style="185" customWidth="1"/>
    <col min="10" max="10" width="17.6640625" style="191" customWidth="1"/>
    <col min="11" max="11" width="23.44140625" style="191" customWidth="1"/>
    <col min="12" max="12" width="23" style="191" customWidth="1"/>
    <col min="13" max="13" width="28.44140625" style="269" customWidth="1"/>
    <col min="14" max="14" width="40.33203125" style="316" hidden="1" customWidth="1"/>
    <col min="15" max="16" width="9.109375" style="316" hidden="1" customWidth="1"/>
    <col min="17" max="16383" width="9.109375" style="316" hidden="1"/>
    <col min="16384" max="16384" width="2.5546875" style="316" hidden="1" customWidth="1"/>
  </cols>
  <sheetData>
    <row r="1" spans="1:13" s="205" customFormat="1" ht="15" x14ac:dyDescent="0.25">
      <c r="A1" s="262" t="s">
        <v>746</v>
      </c>
      <c r="B1" s="263" t="s">
        <v>270</v>
      </c>
      <c r="C1" s="264"/>
      <c r="D1" s="264"/>
      <c r="E1" s="280"/>
      <c r="H1" s="264"/>
      <c r="I1" s="280"/>
      <c r="L1" s="264"/>
      <c r="M1" s="280" t="s">
        <v>268</v>
      </c>
    </row>
    <row r="2" spans="1:13" s="205" customFormat="1" thickBot="1" x14ac:dyDescent="0.3">
      <c r="B2" s="266" t="s">
        <v>269</v>
      </c>
      <c r="C2" s="267"/>
      <c r="D2" s="267"/>
      <c r="E2" s="268"/>
      <c r="F2" s="267"/>
      <c r="G2" s="267"/>
      <c r="H2" s="267"/>
      <c r="I2" s="268"/>
      <c r="J2" s="267"/>
      <c r="K2" s="267"/>
      <c r="L2" s="267"/>
      <c r="M2" s="268"/>
    </row>
    <row r="3" spans="1:13" s="205" customFormat="1" ht="15" x14ac:dyDescent="0.25">
      <c r="B3" s="264"/>
      <c r="C3" s="264"/>
      <c r="D3" s="264"/>
      <c r="E3" s="280"/>
      <c r="F3" s="264"/>
      <c r="G3" s="280"/>
      <c r="H3" s="264"/>
      <c r="I3" s="280"/>
    </row>
    <row r="4" spans="1:13" s="269" customFormat="1" ht="15" x14ac:dyDescent="0.25">
      <c r="B4" s="270" t="s">
        <v>782</v>
      </c>
    </row>
    <row r="5" spans="1:13" ht="17.399999999999999" x14ac:dyDescent="0.3">
      <c r="A5" s="263"/>
      <c r="B5" s="271" t="str">
        <f>'1. Information'!B5</f>
        <v>Annual Mental Health Services Act (MHSA) Revenue and Expenditure Report</v>
      </c>
      <c r="C5" s="271"/>
      <c r="D5" s="271"/>
      <c r="E5" s="271"/>
      <c r="F5" s="271"/>
      <c r="G5" s="271"/>
      <c r="H5" s="271"/>
      <c r="I5" s="271"/>
      <c r="J5" s="271"/>
      <c r="K5" s="271"/>
      <c r="L5" s="271"/>
      <c r="M5" s="263"/>
    </row>
    <row r="6" spans="1:13" ht="17.399999999999999" x14ac:dyDescent="0.3">
      <c r="A6" s="263"/>
      <c r="B6" s="271" t="str">
        <f>'1. Information'!B6</f>
        <v>Fiscal Year: 2023-24</v>
      </c>
      <c r="C6" s="271"/>
      <c r="D6" s="271"/>
      <c r="E6" s="271"/>
      <c r="F6" s="271"/>
      <c r="G6" s="271"/>
      <c r="H6" s="271"/>
      <c r="I6" s="271"/>
      <c r="J6" s="271"/>
      <c r="K6" s="271"/>
      <c r="L6" s="271"/>
      <c r="M6" s="263"/>
    </row>
    <row r="7" spans="1:13" ht="17.399999999999999" x14ac:dyDescent="0.3">
      <c r="A7" s="263"/>
      <c r="B7" s="271" t="s">
        <v>279</v>
      </c>
      <c r="C7" s="271"/>
      <c r="D7" s="271"/>
      <c r="E7" s="271"/>
      <c r="F7" s="271"/>
      <c r="G7" s="271"/>
      <c r="H7" s="271"/>
      <c r="I7" s="271"/>
      <c r="J7" s="271"/>
      <c r="K7" s="271"/>
      <c r="L7" s="271"/>
      <c r="M7" s="263"/>
    </row>
    <row r="8" spans="1:13" x14ac:dyDescent="0.3">
      <c r="A8" s="263"/>
      <c r="B8" s="317"/>
      <c r="C8" s="317"/>
      <c r="D8" s="317"/>
      <c r="E8" s="317"/>
      <c r="F8" s="317"/>
      <c r="G8" s="317"/>
      <c r="H8" s="317"/>
      <c r="I8" s="317"/>
      <c r="J8" s="317"/>
      <c r="K8" s="317"/>
      <c r="L8" s="317"/>
      <c r="M8" s="263"/>
    </row>
    <row r="9" spans="1:13" x14ac:dyDescent="0.3">
      <c r="A9" s="263"/>
      <c r="B9" s="318" t="s">
        <v>0</v>
      </c>
      <c r="C9" s="318"/>
      <c r="D9" s="206" t="str">
        <f>IF(ISBLANK('1. Information'!D11),"",'1. Information'!D11)</f>
        <v>Marin</v>
      </c>
      <c r="E9" s="263"/>
      <c r="F9" s="319" t="s">
        <v>1</v>
      </c>
      <c r="G9" s="320">
        <f>IF(ISBLANK('1. Information'!D9),"",'1. Information'!D9)</f>
        <v>45684</v>
      </c>
      <c r="H9" s="263"/>
      <c r="I9" s="263"/>
      <c r="J9" s="263"/>
      <c r="K9" s="263"/>
      <c r="L9" s="321"/>
      <c r="M9" s="263"/>
    </row>
    <row r="10" spans="1:13" x14ac:dyDescent="0.3">
      <c r="A10" s="263"/>
      <c r="B10" s="263"/>
      <c r="C10" s="322"/>
      <c r="D10" s="322"/>
      <c r="E10" s="322"/>
      <c r="F10" s="263"/>
      <c r="G10" s="307"/>
      <c r="H10" s="323"/>
      <c r="I10" s="263"/>
      <c r="J10" s="263"/>
      <c r="K10" s="263"/>
      <c r="L10" s="316"/>
      <c r="M10" s="321"/>
    </row>
    <row r="11" spans="1:13" ht="18" thickBot="1" x14ac:dyDescent="0.35">
      <c r="A11" s="263"/>
      <c r="B11" s="324" t="s">
        <v>211</v>
      </c>
      <c r="C11" s="325"/>
      <c r="D11" s="325"/>
      <c r="E11" s="325"/>
      <c r="F11" s="326"/>
      <c r="G11" s="327"/>
      <c r="H11" s="328"/>
      <c r="I11" s="326"/>
      <c r="J11" s="326"/>
      <c r="K11" s="326"/>
      <c r="L11" s="326"/>
      <c r="M11" s="316"/>
    </row>
    <row r="12" spans="1:13" ht="16.2" thickTop="1" x14ac:dyDescent="0.3">
      <c r="A12" s="263"/>
      <c r="B12" s="329"/>
      <c r="C12" s="322"/>
      <c r="D12" s="322"/>
      <c r="E12" s="322"/>
      <c r="F12" s="307"/>
      <c r="G12" s="323"/>
      <c r="H12" s="263"/>
      <c r="I12" s="263"/>
      <c r="J12" s="263"/>
      <c r="K12" s="263"/>
      <c r="L12" s="321"/>
      <c r="M12" s="316"/>
    </row>
    <row r="13" spans="1:13" ht="15.75" customHeight="1" x14ac:dyDescent="0.3">
      <c r="A13" s="263"/>
      <c r="D13" s="269"/>
      <c r="E13" s="269"/>
      <c r="F13" s="330" t="s">
        <v>22</v>
      </c>
      <c r="G13" s="286" t="s">
        <v>23</v>
      </c>
      <c r="H13" s="331" t="s">
        <v>25</v>
      </c>
      <c r="I13" s="330" t="s">
        <v>199</v>
      </c>
      <c r="J13" s="330" t="s">
        <v>200</v>
      </c>
      <c r="K13" s="330" t="s">
        <v>201</v>
      </c>
      <c r="L13" s="316"/>
      <c r="M13" s="316"/>
    </row>
    <row r="14" spans="1:13" ht="46.8" x14ac:dyDescent="0.3">
      <c r="A14" s="263"/>
      <c r="B14" s="281"/>
      <c r="D14" s="269"/>
      <c r="E14" s="269"/>
      <c r="F14" s="332" t="s">
        <v>276</v>
      </c>
      <c r="G14" s="333" t="s">
        <v>4</v>
      </c>
      <c r="H14" s="333" t="s">
        <v>5</v>
      </c>
      <c r="I14" s="333" t="s">
        <v>24</v>
      </c>
      <c r="J14" s="333" t="s">
        <v>12</v>
      </c>
      <c r="K14" s="334" t="s">
        <v>216</v>
      </c>
      <c r="L14" s="316"/>
      <c r="M14" s="316"/>
    </row>
    <row r="15" spans="1:13" ht="15.75" customHeight="1" x14ac:dyDescent="0.3">
      <c r="A15" s="263"/>
      <c r="B15" s="330">
        <v>1</v>
      </c>
      <c r="C15" s="335" t="s">
        <v>6</v>
      </c>
      <c r="D15" s="315"/>
      <c r="E15" s="336"/>
      <c r="F15" s="185">
        <f>85103.65-G15-H15-I15-J15</f>
        <v>76124.01999999999</v>
      </c>
      <c r="H15" s="185"/>
      <c r="J15" s="185">
        <v>8979.6299999999992</v>
      </c>
      <c r="K15" s="337">
        <f>SUM(F15:J15)</f>
        <v>85103.65</v>
      </c>
      <c r="L15" s="316"/>
      <c r="M15" s="316"/>
    </row>
    <row r="16" spans="1:13" ht="15" customHeight="1" x14ac:dyDescent="0.3">
      <c r="A16" s="263"/>
      <c r="B16" s="330">
        <v>2</v>
      </c>
      <c r="C16" s="318" t="s">
        <v>7</v>
      </c>
      <c r="D16" s="338"/>
      <c r="E16" s="339"/>
      <c r="F16" s="185">
        <f>47779.99-G16-H16-I16-J16</f>
        <v>47779.99</v>
      </c>
      <c r="H16" s="185"/>
      <c r="J16" s="185"/>
      <c r="K16" s="337">
        <f>SUM(F16:J16)</f>
        <v>47779.99</v>
      </c>
      <c r="L16" s="316"/>
      <c r="M16" s="316"/>
    </row>
    <row r="17" spans="1:13" ht="15.75" customHeight="1" x14ac:dyDescent="0.3">
      <c r="A17" s="263"/>
      <c r="B17" s="330">
        <v>3</v>
      </c>
      <c r="C17" s="318" t="s">
        <v>114</v>
      </c>
      <c r="D17" s="338"/>
      <c r="E17" s="339"/>
      <c r="F17" s="185">
        <f>3059603.85+237807.31+215625.22-608532.59-G17-H17-I17-J17</f>
        <v>2823694.7800000003</v>
      </c>
      <c r="H17" s="185"/>
      <c r="J17" s="185">
        <v>80809.010000000009</v>
      </c>
      <c r="K17" s="337">
        <f>SUM(F17:J17)</f>
        <v>2904503.79</v>
      </c>
      <c r="L17" s="316"/>
      <c r="M17" s="316"/>
    </row>
    <row r="18" spans="1:13" x14ac:dyDescent="0.3">
      <c r="A18" s="263"/>
      <c r="B18" s="330">
        <v>4</v>
      </c>
      <c r="C18" s="318" t="s">
        <v>184</v>
      </c>
      <c r="D18" s="338"/>
      <c r="E18" s="339"/>
      <c r="F18" s="185"/>
      <c r="G18" s="340"/>
      <c r="H18" s="340"/>
      <c r="I18" s="340"/>
      <c r="J18" s="340"/>
      <c r="K18" s="337">
        <f t="shared" ref="K18:K24" si="0">F18</f>
        <v>0</v>
      </c>
      <c r="L18" s="316"/>
      <c r="M18" s="316"/>
    </row>
    <row r="19" spans="1:13" x14ac:dyDescent="0.3">
      <c r="A19" s="263"/>
      <c r="B19" s="330">
        <v>5</v>
      </c>
      <c r="C19" s="318" t="s">
        <v>277</v>
      </c>
      <c r="D19" s="338"/>
      <c r="E19" s="339"/>
      <c r="F19" s="185"/>
      <c r="G19" s="340"/>
      <c r="H19" s="340"/>
      <c r="I19" s="340"/>
      <c r="J19" s="340"/>
      <c r="K19" s="337">
        <f t="shared" si="0"/>
        <v>0</v>
      </c>
      <c r="L19" s="316"/>
      <c r="M19" s="316"/>
    </row>
    <row r="20" spans="1:13" ht="15.75" customHeight="1" x14ac:dyDescent="0.3">
      <c r="A20" s="263"/>
      <c r="B20" s="330">
        <v>6</v>
      </c>
      <c r="C20" s="318" t="s">
        <v>183</v>
      </c>
      <c r="D20" s="338"/>
      <c r="E20" s="339"/>
      <c r="F20" s="185"/>
      <c r="G20" s="340"/>
      <c r="H20" s="340"/>
      <c r="I20" s="340"/>
      <c r="J20" s="340"/>
      <c r="K20" s="337">
        <f t="shared" si="0"/>
        <v>0</v>
      </c>
      <c r="L20" s="316"/>
      <c r="M20" s="316"/>
    </row>
    <row r="21" spans="1:13" x14ac:dyDescent="0.3">
      <c r="A21" s="321"/>
      <c r="B21" s="291">
        <v>7</v>
      </c>
      <c r="C21" s="338" t="s">
        <v>241</v>
      </c>
      <c r="D21" s="341"/>
      <c r="E21" s="339"/>
      <c r="F21" s="185"/>
      <c r="G21" s="340"/>
      <c r="H21" s="340"/>
      <c r="I21" s="340"/>
      <c r="J21" s="340"/>
      <c r="K21" s="337">
        <f t="shared" si="0"/>
        <v>0</v>
      </c>
      <c r="L21" s="316"/>
      <c r="M21" s="316"/>
    </row>
    <row r="22" spans="1:13" x14ac:dyDescent="0.3">
      <c r="A22" s="321"/>
      <c r="B22" s="291">
        <v>8</v>
      </c>
      <c r="C22" s="338" t="s">
        <v>189</v>
      </c>
      <c r="D22" s="341"/>
      <c r="E22" s="339"/>
      <c r="F22" s="185">
        <v>956295</v>
      </c>
      <c r="G22" s="340"/>
      <c r="H22" s="340"/>
      <c r="I22" s="340"/>
      <c r="J22" s="340"/>
      <c r="K22" s="337">
        <f t="shared" si="0"/>
        <v>956295</v>
      </c>
      <c r="L22" s="316"/>
      <c r="M22" s="316"/>
    </row>
    <row r="23" spans="1:13" x14ac:dyDescent="0.3">
      <c r="A23" s="321"/>
      <c r="B23" s="291">
        <v>9</v>
      </c>
      <c r="C23" s="338" t="s">
        <v>190</v>
      </c>
      <c r="D23" s="341"/>
      <c r="E23" s="339"/>
      <c r="F23" s="185">
        <v>1805116</v>
      </c>
      <c r="G23" s="340"/>
      <c r="H23" s="340"/>
      <c r="I23" s="340"/>
      <c r="J23" s="340"/>
      <c r="K23" s="337">
        <f t="shared" si="0"/>
        <v>1805116</v>
      </c>
      <c r="L23" s="316"/>
      <c r="M23" s="316"/>
    </row>
    <row r="24" spans="1:13" x14ac:dyDescent="0.3">
      <c r="A24" s="321"/>
      <c r="B24" s="291">
        <v>10</v>
      </c>
      <c r="C24" s="338" t="s">
        <v>188</v>
      </c>
      <c r="D24" s="341"/>
      <c r="E24" s="339"/>
      <c r="F24" s="185"/>
      <c r="G24" s="342"/>
      <c r="H24" s="342"/>
      <c r="I24" s="342"/>
      <c r="J24" s="342"/>
      <c r="K24" s="337">
        <f t="shared" si="0"/>
        <v>0</v>
      </c>
      <c r="L24" s="316"/>
      <c r="M24" s="316"/>
    </row>
    <row r="25" spans="1:13" ht="15.75" customHeight="1" x14ac:dyDescent="0.3">
      <c r="A25" s="263"/>
      <c r="B25" s="330">
        <v>11</v>
      </c>
      <c r="C25" s="318" t="s">
        <v>120</v>
      </c>
      <c r="D25" s="338"/>
      <c r="E25" s="339"/>
      <c r="F25" s="340">
        <f>SUM(G34:G133,H34:H133)</f>
        <v>20760545.48</v>
      </c>
      <c r="G25" s="340">
        <f>SUM(I34:I133)</f>
        <v>5964820.3200000003</v>
      </c>
      <c r="H25" s="340">
        <f>SUM(J34:J133)</f>
        <v>0</v>
      </c>
      <c r="I25" s="340">
        <f>SUM(K34:K133)</f>
        <v>0</v>
      </c>
      <c r="J25" s="340">
        <f>SUM(L34:L133)</f>
        <v>392134.06</v>
      </c>
      <c r="K25" s="340">
        <f>SUM(F25:J25)</f>
        <v>27117499.859999999</v>
      </c>
      <c r="L25" s="316"/>
      <c r="M25" s="316"/>
    </row>
    <row r="26" spans="1:13" ht="30.9" customHeight="1" x14ac:dyDescent="0.3">
      <c r="A26" s="263"/>
      <c r="B26" s="330">
        <v>12</v>
      </c>
      <c r="C26" s="343" t="s">
        <v>187</v>
      </c>
      <c r="D26" s="344"/>
      <c r="E26" s="345"/>
      <c r="F26" s="346">
        <f>SUM(F15:F17,F19:F25)</f>
        <v>26469555.27</v>
      </c>
      <c r="G26" s="346">
        <f>SUM(G15:G17,G25)</f>
        <v>5964820.3200000003</v>
      </c>
      <c r="H26" s="347">
        <f>SUM(H15:H17,H25)</f>
        <v>0</v>
      </c>
      <c r="I26" s="346">
        <f>SUM(I15:I17,I25)</f>
        <v>0</v>
      </c>
      <c r="J26" s="346">
        <f>SUM(J15:J17,J25)</f>
        <v>481922.7</v>
      </c>
      <c r="K26" s="346">
        <f>SUM(F26:J26)</f>
        <v>32916298.289999999</v>
      </c>
      <c r="L26" s="316"/>
      <c r="M26" s="316"/>
    </row>
    <row r="27" spans="1:13" ht="30.9" customHeight="1" x14ac:dyDescent="0.3">
      <c r="A27" s="263"/>
      <c r="B27" s="330">
        <v>13</v>
      </c>
      <c r="C27" s="348" t="s">
        <v>601</v>
      </c>
      <c r="D27" s="348"/>
      <c r="E27" s="348"/>
      <c r="F27" s="346">
        <f>SUM(F15:F17,F19,F20,F25)</f>
        <v>23708144.27</v>
      </c>
      <c r="G27" s="346">
        <f>SUM(G15:G17,G25)</f>
        <v>5964820.3200000003</v>
      </c>
      <c r="H27" s="346">
        <f>SUM(H15:H17,H25)</f>
        <v>0</v>
      </c>
      <c r="I27" s="346">
        <f>SUM(I15:I17,I25)</f>
        <v>0</v>
      </c>
      <c r="J27" s="346">
        <f>SUM(J15:J17,J25)</f>
        <v>481922.7</v>
      </c>
      <c r="K27" s="346">
        <f>SUM(F27:J27)</f>
        <v>30154887.289999999</v>
      </c>
      <c r="L27" s="316"/>
      <c r="M27" s="316"/>
    </row>
    <row r="28" spans="1:13" x14ac:dyDescent="0.3">
      <c r="A28" s="263"/>
      <c r="B28" s="263"/>
      <c r="C28" s="263"/>
      <c r="D28" s="307"/>
      <c r="E28" s="307"/>
      <c r="F28" s="349"/>
      <c r="G28" s="321"/>
      <c r="H28" s="321"/>
      <c r="I28" s="321"/>
      <c r="J28" s="321"/>
      <c r="K28" s="321"/>
      <c r="L28" s="321"/>
      <c r="M28" s="263"/>
    </row>
    <row r="29" spans="1:13" x14ac:dyDescent="0.3">
      <c r="A29" s="263"/>
      <c r="B29" s="263"/>
      <c r="C29" s="350"/>
      <c r="D29" s="307"/>
      <c r="E29" s="307"/>
      <c r="F29" s="351"/>
      <c r="G29" s="321"/>
      <c r="H29" s="321"/>
      <c r="I29" s="321"/>
      <c r="J29" s="321"/>
      <c r="K29" s="321"/>
      <c r="L29" s="321"/>
      <c r="M29" s="263"/>
    </row>
    <row r="30" spans="1:13" ht="18" thickBot="1" x14ac:dyDescent="0.35">
      <c r="A30" s="263"/>
      <c r="B30" s="352" t="s">
        <v>212</v>
      </c>
      <c r="C30" s="353"/>
      <c r="D30" s="327"/>
      <c r="E30" s="327"/>
      <c r="F30" s="354"/>
      <c r="G30" s="355"/>
      <c r="H30" s="355"/>
      <c r="I30" s="355"/>
      <c r="J30" s="355"/>
      <c r="K30" s="355"/>
      <c r="L30" s="355"/>
      <c r="M30" s="326"/>
    </row>
    <row r="31" spans="1:13" ht="16.2" thickTop="1" x14ac:dyDescent="0.3">
      <c r="A31" s="263"/>
      <c r="B31" s="356"/>
      <c r="C31" s="350"/>
      <c r="D31" s="307"/>
      <c r="E31" s="307"/>
      <c r="F31" s="351"/>
      <c r="G31" s="321"/>
      <c r="H31" s="321"/>
      <c r="I31" s="321"/>
      <c r="J31" s="321"/>
      <c r="K31" s="321"/>
      <c r="L31" s="321"/>
      <c r="M31" s="263"/>
    </row>
    <row r="32" spans="1:13" x14ac:dyDescent="0.3">
      <c r="A32" s="263"/>
      <c r="B32" s="350"/>
      <c r="C32" s="330" t="s">
        <v>22</v>
      </c>
      <c r="D32" s="286" t="s">
        <v>23</v>
      </c>
      <c r="E32" s="286" t="s">
        <v>25</v>
      </c>
      <c r="F32" s="330" t="s">
        <v>199</v>
      </c>
      <c r="G32" s="286" t="s">
        <v>200</v>
      </c>
      <c r="H32" s="286" t="s">
        <v>201</v>
      </c>
      <c r="I32" s="330" t="s">
        <v>210</v>
      </c>
      <c r="J32" s="286" t="s">
        <v>202</v>
      </c>
      <c r="K32" s="286" t="s">
        <v>203</v>
      </c>
      <c r="L32" s="286" t="s">
        <v>204</v>
      </c>
      <c r="M32" s="286" t="s">
        <v>205</v>
      </c>
    </row>
    <row r="33" spans="1:13" ht="87.75" customHeight="1" x14ac:dyDescent="0.3">
      <c r="A33" s="263"/>
      <c r="B33" s="357" t="s">
        <v>117</v>
      </c>
      <c r="C33" s="357" t="s">
        <v>165</v>
      </c>
      <c r="D33" s="358" t="s">
        <v>8</v>
      </c>
      <c r="E33" s="358" t="s">
        <v>3</v>
      </c>
      <c r="F33" s="358" t="s">
        <v>95</v>
      </c>
      <c r="G33" s="332" t="s">
        <v>276</v>
      </c>
      <c r="H33" s="358" t="s">
        <v>602</v>
      </c>
      <c r="I33" s="358" t="s">
        <v>4</v>
      </c>
      <c r="J33" s="358" t="s">
        <v>5</v>
      </c>
      <c r="K33" s="358" t="s">
        <v>24</v>
      </c>
      <c r="L33" s="358" t="s">
        <v>12</v>
      </c>
      <c r="M33" s="359" t="s">
        <v>216</v>
      </c>
    </row>
    <row r="34" spans="1:13" x14ac:dyDescent="0.3">
      <c r="A34" s="263"/>
      <c r="B34" s="360">
        <v>14</v>
      </c>
      <c r="C34" s="361">
        <f t="shared" ref="C34:C65" si="1">IF(M34&lt;&gt;0,VLOOKUP($D$9,Info_County_Code,2,FALSE),"")</f>
        <v>21</v>
      </c>
      <c r="D34" s="186" t="s">
        <v>803</v>
      </c>
      <c r="E34" s="186"/>
      <c r="F34" s="187" t="s">
        <v>93</v>
      </c>
      <c r="G34" s="185">
        <f>937731.46-H34-I34-J34-K34-L34</f>
        <v>188275.03999999992</v>
      </c>
      <c r="H34" s="185"/>
      <c r="I34" s="185">
        <f>79088.4+615461.9</f>
        <v>694550.3</v>
      </c>
      <c r="J34" s="185"/>
      <c r="K34" s="185"/>
      <c r="L34" s="185">
        <v>54906.12</v>
      </c>
      <c r="M34" s="337">
        <f t="shared" ref="M34:M65" si="2">SUM(G34:L34)</f>
        <v>937731.46</v>
      </c>
    </row>
    <row r="35" spans="1:13" x14ac:dyDescent="0.3">
      <c r="A35" s="263"/>
      <c r="B35" s="360">
        <v>15</v>
      </c>
      <c r="C35" s="361">
        <f t="shared" si="1"/>
        <v>21</v>
      </c>
      <c r="D35" s="186" t="s">
        <v>804</v>
      </c>
      <c r="E35" s="186"/>
      <c r="F35" s="187" t="s">
        <v>93</v>
      </c>
      <c r="G35" s="185">
        <f>1300467.11-H35-I35-J35-K35-L35</f>
        <v>681783.1100000001</v>
      </c>
      <c r="H35" s="185"/>
      <c r="I35" s="185">
        <f>397464+221220</f>
        <v>618684</v>
      </c>
      <c r="J35" s="185"/>
      <c r="K35" s="185"/>
      <c r="L35" s="185"/>
      <c r="M35" s="337">
        <f t="shared" si="2"/>
        <v>1300467.1100000001</v>
      </c>
    </row>
    <row r="36" spans="1:13" ht="30.6" x14ac:dyDescent="0.3">
      <c r="A36" s="263"/>
      <c r="B36" s="360">
        <v>16</v>
      </c>
      <c r="C36" s="361">
        <f t="shared" si="1"/>
        <v>21</v>
      </c>
      <c r="D36" s="186" t="s">
        <v>805</v>
      </c>
      <c r="E36" s="186"/>
      <c r="F36" s="187" t="s">
        <v>93</v>
      </c>
      <c r="G36" s="185">
        <f>878902.15-H36-I36-J36-K36-L36</f>
        <v>578239.62</v>
      </c>
      <c r="H36" s="185"/>
      <c r="I36" s="185">
        <f>3573.21+297089.32</f>
        <v>300662.53000000003</v>
      </c>
      <c r="J36" s="185"/>
      <c r="K36" s="185"/>
      <c r="L36" s="185"/>
      <c r="M36" s="337">
        <f t="shared" si="2"/>
        <v>878902.15</v>
      </c>
    </row>
    <row r="37" spans="1:13" x14ac:dyDescent="0.3">
      <c r="A37" s="263"/>
      <c r="B37" s="360">
        <v>17</v>
      </c>
      <c r="C37" s="361">
        <f t="shared" si="1"/>
        <v>21</v>
      </c>
      <c r="D37" s="186" t="s">
        <v>806</v>
      </c>
      <c r="E37" s="186"/>
      <c r="F37" s="187" t="s">
        <v>93</v>
      </c>
      <c r="G37" s="185">
        <f>1570535.31-1233.43-141-H37-I37-J37-K37-L37</f>
        <v>645242.89</v>
      </c>
      <c r="H37" s="185"/>
      <c r="I37" s="185">
        <f>593879.67+4600.02+246160</f>
        <v>844639.69000000006</v>
      </c>
      <c r="J37" s="185"/>
      <c r="K37" s="185"/>
      <c r="L37" s="185">
        <v>79278.3</v>
      </c>
      <c r="M37" s="337">
        <f t="shared" si="2"/>
        <v>1569160.8800000001</v>
      </c>
    </row>
    <row r="38" spans="1:13" x14ac:dyDescent="0.3">
      <c r="A38" s="263"/>
      <c r="B38" s="360">
        <v>18</v>
      </c>
      <c r="C38" s="361">
        <f t="shared" si="1"/>
        <v>21</v>
      </c>
      <c r="D38" s="186" t="s">
        <v>807</v>
      </c>
      <c r="E38" s="186"/>
      <c r="F38" s="187" t="s">
        <v>93</v>
      </c>
      <c r="G38" s="185">
        <f>2350641.89-H38-I38-J38-K38-L38</f>
        <v>1443626.7100000002</v>
      </c>
      <c r="H38" s="185"/>
      <c r="I38" s="185">
        <f>797220.48+70016</f>
        <v>867236.48</v>
      </c>
      <c r="J38" s="185"/>
      <c r="K38" s="185"/>
      <c r="L38" s="185">
        <v>39778.699999999997</v>
      </c>
      <c r="M38" s="337">
        <f t="shared" si="2"/>
        <v>2350641.8900000006</v>
      </c>
    </row>
    <row r="39" spans="1:13" ht="60.6" x14ac:dyDescent="0.3">
      <c r="A39" s="263"/>
      <c r="B39" s="360">
        <v>19</v>
      </c>
      <c r="C39" s="361">
        <f t="shared" si="1"/>
        <v>21</v>
      </c>
      <c r="D39" s="186" t="s">
        <v>808</v>
      </c>
      <c r="E39" s="186" t="s">
        <v>878</v>
      </c>
      <c r="F39" s="187" t="s">
        <v>93</v>
      </c>
      <c r="G39" s="185">
        <f>2561183.02-H39-I39-J39-K39-L39</f>
        <v>1312248.29</v>
      </c>
      <c r="H39" s="185"/>
      <c r="I39" s="185">
        <f>636933.42+558782</f>
        <v>1195715.42</v>
      </c>
      <c r="J39" s="185"/>
      <c r="K39" s="185"/>
      <c r="L39" s="185">
        <v>53219.31</v>
      </c>
      <c r="M39" s="337">
        <f t="shared" si="2"/>
        <v>2561183.02</v>
      </c>
    </row>
    <row r="40" spans="1:13" ht="30.6" x14ac:dyDescent="0.3">
      <c r="A40" s="263"/>
      <c r="B40" s="360">
        <v>20</v>
      </c>
      <c r="C40" s="361">
        <f t="shared" si="1"/>
        <v>21</v>
      </c>
      <c r="D40" s="186" t="s">
        <v>809</v>
      </c>
      <c r="E40" s="186"/>
      <c r="F40" s="187" t="s">
        <v>93</v>
      </c>
      <c r="G40" s="185">
        <f>175096.76-H40-I40-J40-K40-L40</f>
        <v>148549.27000000002</v>
      </c>
      <c r="H40" s="185"/>
      <c r="I40" s="185">
        <f>26547.49</f>
        <v>26547.49</v>
      </c>
      <c r="J40" s="185"/>
      <c r="K40" s="185"/>
      <c r="L40" s="185"/>
      <c r="M40" s="337">
        <f t="shared" si="2"/>
        <v>175096.76</v>
      </c>
    </row>
    <row r="41" spans="1:13" x14ac:dyDescent="0.3">
      <c r="A41" s="263"/>
      <c r="B41" s="360">
        <v>21</v>
      </c>
      <c r="C41" s="361">
        <f t="shared" si="1"/>
        <v>21</v>
      </c>
      <c r="D41" s="186" t="s">
        <v>810</v>
      </c>
      <c r="E41" s="186"/>
      <c r="F41" s="187" t="s">
        <v>94</v>
      </c>
      <c r="G41" s="185">
        <f>627159.94-H41-I41-J41-K41-L41</f>
        <v>627159.93999999994</v>
      </c>
      <c r="H41" s="185"/>
      <c r="J41" s="185"/>
      <c r="K41" s="185"/>
      <c r="L41" s="185"/>
      <c r="M41" s="337">
        <f t="shared" si="2"/>
        <v>627159.93999999994</v>
      </c>
    </row>
    <row r="42" spans="1:13" x14ac:dyDescent="0.3">
      <c r="A42" s="263"/>
      <c r="B42" s="360">
        <v>22</v>
      </c>
      <c r="C42" s="361">
        <f t="shared" si="1"/>
        <v>21</v>
      </c>
      <c r="D42" s="186" t="s">
        <v>811</v>
      </c>
      <c r="E42" s="186"/>
      <c r="F42" s="187" t="s">
        <v>94</v>
      </c>
      <c r="G42" s="185">
        <f>2259080.6+822563.09+675404.69-H42-I42-J42-K42-L42</f>
        <v>2607033.9899999998</v>
      </c>
      <c r="H42" s="185"/>
      <c r="I42" s="185">
        <f>863012.87+287001.52</f>
        <v>1150014.3900000001</v>
      </c>
      <c r="J42" s="185"/>
      <c r="K42" s="185"/>
      <c r="L42" s="185"/>
      <c r="M42" s="337">
        <f t="shared" si="2"/>
        <v>3757048.38</v>
      </c>
    </row>
    <row r="43" spans="1:13" x14ac:dyDescent="0.3">
      <c r="A43" s="263"/>
      <c r="B43" s="360">
        <v>23</v>
      </c>
      <c r="C43" s="361">
        <f t="shared" si="1"/>
        <v>21</v>
      </c>
      <c r="D43" s="186" t="s">
        <v>812</v>
      </c>
      <c r="E43" s="186"/>
      <c r="F43" s="187" t="s">
        <v>94</v>
      </c>
      <c r="G43" s="185">
        <f>182847.21-H43-I43-J43-K43-L43</f>
        <v>41008.459999999992</v>
      </c>
      <c r="H43" s="185"/>
      <c r="I43" s="185">
        <f>141838.75</f>
        <v>141838.75</v>
      </c>
      <c r="J43" s="185"/>
      <c r="K43" s="185"/>
      <c r="L43" s="185"/>
      <c r="M43" s="337">
        <f t="shared" si="2"/>
        <v>182847.21</v>
      </c>
    </row>
    <row r="44" spans="1:13" ht="30.6" x14ac:dyDescent="0.3">
      <c r="A44" s="263"/>
      <c r="B44" s="360">
        <v>24</v>
      </c>
      <c r="C44" s="361">
        <f t="shared" si="1"/>
        <v>21</v>
      </c>
      <c r="D44" s="186" t="s">
        <v>813</v>
      </c>
      <c r="E44" s="186"/>
      <c r="F44" s="187" t="s">
        <v>94</v>
      </c>
      <c r="G44" s="185">
        <f>369625.76-H44-I44-J44-K44-L44</f>
        <v>369625.76</v>
      </c>
      <c r="H44" s="185"/>
      <c r="J44" s="185"/>
      <c r="K44" s="185"/>
      <c r="L44" s="185"/>
      <c r="M44" s="337">
        <f t="shared" si="2"/>
        <v>369625.76</v>
      </c>
    </row>
    <row r="45" spans="1:13" ht="30.6" x14ac:dyDescent="0.3">
      <c r="A45" s="263"/>
      <c r="B45" s="360">
        <v>25</v>
      </c>
      <c r="C45" s="361">
        <f t="shared" si="1"/>
        <v>21</v>
      </c>
      <c r="D45" s="186" t="s">
        <v>814</v>
      </c>
      <c r="E45" s="186"/>
      <c r="F45" s="187" t="s">
        <v>94</v>
      </c>
      <c r="G45" s="185">
        <f>1289567.12-H45-I45-J45-K45-L45</f>
        <v>1124964.0900000001</v>
      </c>
      <c r="H45" s="185"/>
      <c r="I45" s="185">
        <f>92014.72</f>
        <v>92014.720000000001</v>
      </c>
      <c r="J45" s="185"/>
      <c r="K45" s="185"/>
      <c r="L45" s="185">
        <v>72588.31</v>
      </c>
      <c r="M45" s="337">
        <f t="shared" si="2"/>
        <v>1289567.1200000001</v>
      </c>
    </row>
    <row r="46" spans="1:13" x14ac:dyDescent="0.3">
      <c r="A46" s="263"/>
      <c r="B46" s="360">
        <v>26</v>
      </c>
      <c r="C46" s="361">
        <f t="shared" si="1"/>
        <v>21</v>
      </c>
      <c r="D46" s="186" t="s">
        <v>815</v>
      </c>
      <c r="E46" s="186"/>
      <c r="F46" s="187" t="s">
        <v>94</v>
      </c>
      <c r="G46" s="185">
        <f>525182.36-49.62-H46-I46-J46-K46-L46</f>
        <v>496037.55</v>
      </c>
      <c r="H46" s="185"/>
      <c r="J46" s="185"/>
      <c r="K46" s="185"/>
      <c r="L46" s="185">
        <v>29095.19</v>
      </c>
      <c r="M46" s="337">
        <f t="shared" si="2"/>
        <v>525132.74</v>
      </c>
    </row>
    <row r="47" spans="1:13" ht="30.6" x14ac:dyDescent="0.3">
      <c r="A47" s="263"/>
      <c r="B47" s="360">
        <v>27</v>
      </c>
      <c r="C47" s="361">
        <f t="shared" si="1"/>
        <v>21</v>
      </c>
      <c r="D47" s="186" t="s">
        <v>816</v>
      </c>
      <c r="E47" s="186"/>
      <c r="F47" s="187" t="s">
        <v>94</v>
      </c>
      <c r="G47" s="185">
        <f>1126489.61-H47-I47-J47-K47-L47</f>
        <v>1073296.2700000003</v>
      </c>
      <c r="H47" s="185"/>
      <c r="I47" s="185">
        <v>19926.14</v>
      </c>
      <c r="J47" s="185"/>
      <c r="K47" s="185"/>
      <c r="L47" s="185">
        <v>33267.199999999997</v>
      </c>
      <c r="M47" s="337">
        <f t="shared" si="2"/>
        <v>1126489.6100000001</v>
      </c>
    </row>
    <row r="48" spans="1:13" x14ac:dyDescent="0.3">
      <c r="A48" s="263"/>
      <c r="B48" s="360">
        <v>28</v>
      </c>
      <c r="C48" s="361">
        <f t="shared" si="1"/>
        <v>21</v>
      </c>
      <c r="D48" s="186" t="s">
        <v>817</v>
      </c>
      <c r="E48" s="186"/>
      <c r="F48" s="187" t="s">
        <v>94</v>
      </c>
      <c r="G48" s="185">
        <f>1351066.33+37849.5-H48-I48-J48-K48-L48</f>
        <v>1345924.4900000002</v>
      </c>
      <c r="H48" s="185"/>
      <c r="I48" s="185">
        <v>12990.41</v>
      </c>
      <c r="J48" s="185"/>
      <c r="K48" s="185"/>
      <c r="L48" s="185">
        <v>30000.93</v>
      </c>
      <c r="M48" s="337">
        <f t="shared" si="2"/>
        <v>1388915.83</v>
      </c>
    </row>
    <row r="49" spans="1:13" x14ac:dyDescent="0.3">
      <c r="A49" s="263"/>
      <c r="B49" s="360">
        <v>29</v>
      </c>
      <c r="C49" s="361">
        <f t="shared" si="1"/>
        <v>21</v>
      </c>
      <c r="D49" s="186" t="s">
        <v>818</v>
      </c>
      <c r="E49" s="186"/>
      <c r="F49" s="187" t="s">
        <v>94</v>
      </c>
      <c r="G49" s="185">
        <v>427790</v>
      </c>
      <c r="H49" s="185"/>
      <c r="J49" s="185"/>
      <c r="K49" s="185"/>
      <c r="L49" s="185"/>
      <c r="M49" s="337">
        <f t="shared" si="2"/>
        <v>427790</v>
      </c>
    </row>
    <row r="50" spans="1:13" x14ac:dyDescent="0.3">
      <c r="A50" s="263"/>
      <c r="B50" s="360">
        <v>30</v>
      </c>
      <c r="C50" s="361" t="str">
        <f t="shared" si="1"/>
        <v/>
      </c>
      <c r="D50" s="186" t="s">
        <v>819</v>
      </c>
      <c r="E50" s="186"/>
      <c r="F50" s="187" t="s">
        <v>94</v>
      </c>
      <c r="G50" s="185">
        <v>0</v>
      </c>
      <c r="H50" s="185"/>
      <c r="J50" s="185"/>
      <c r="K50" s="185"/>
      <c r="L50" s="185"/>
      <c r="M50" s="337">
        <f t="shared" si="2"/>
        <v>0</v>
      </c>
    </row>
    <row r="51" spans="1:13" x14ac:dyDescent="0.3">
      <c r="A51" s="263"/>
      <c r="B51" s="360">
        <v>31</v>
      </c>
      <c r="C51" s="361">
        <f t="shared" si="1"/>
        <v>21</v>
      </c>
      <c r="D51" s="186" t="s">
        <v>820</v>
      </c>
      <c r="E51" s="186"/>
      <c r="F51" s="187" t="s">
        <v>94</v>
      </c>
      <c r="G51" s="185">
        <f>7649740-H51-I51-J51-K51-L51</f>
        <v>7649740</v>
      </c>
      <c r="H51" s="185"/>
      <c r="J51" s="185"/>
      <c r="K51" s="185"/>
      <c r="L51" s="185"/>
      <c r="M51" s="337">
        <f t="shared" si="2"/>
        <v>7649740</v>
      </c>
    </row>
    <row r="52" spans="1:13" x14ac:dyDescent="0.3">
      <c r="A52" s="263"/>
      <c r="B52" s="209">
        <v>32</v>
      </c>
      <c r="C52" s="236" t="str">
        <f t="shared" si="1"/>
        <v/>
      </c>
      <c r="D52" s="364"/>
      <c r="E52" s="364"/>
      <c r="F52" s="365"/>
      <c r="G52" s="189"/>
      <c r="H52" s="189"/>
      <c r="I52" s="189"/>
      <c r="J52" s="189"/>
      <c r="K52" s="189"/>
      <c r="L52" s="189"/>
      <c r="M52" s="235">
        <f t="shared" si="2"/>
        <v>0</v>
      </c>
    </row>
    <row r="53" spans="1:13" x14ac:dyDescent="0.3">
      <c r="A53" s="263"/>
      <c r="B53" s="209">
        <v>33</v>
      </c>
      <c r="C53" s="236" t="str">
        <f t="shared" si="1"/>
        <v/>
      </c>
      <c r="D53" s="364"/>
      <c r="E53" s="364"/>
      <c r="F53" s="365"/>
      <c r="G53" s="189"/>
      <c r="H53" s="189"/>
      <c r="I53" s="189"/>
      <c r="J53" s="189"/>
      <c r="K53" s="189"/>
      <c r="L53" s="189"/>
      <c r="M53" s="235">
        <f t="shared" si="2"/>
        <v>0</v>
      </c>
    </row>
    <row r="54" spans="1:13" x14ac:dyDescent="0.3">
      <c r="A54" s="263"/>
      <c r="B54" s="209">
        <v>34</v>
      </c>
      <c r="C54" s="236" t="str">
        <f t="shared" si="1"/>
        <v/>
      </c>
      <c r="D54" s="364"/>
      <c r="E54" s="364"/>
      <c r="F54" s="365"/>
      <c r="G54" s="189"/>
      <c r="H54" s="189"/>
      <c r="I54" s="189"/>
      <c r="J54" s="189"/>
      <c r="K54" s="189"/>
      <c r="L54" s="189"/>
      <c r="M54" s="235">
        <f t="shared" si="2"/>
        <v>0</v>
      </c>
    </row>
    <row r="55" spans="1:13" x14ac:dyDescent="0.3">
      <c r="A55" s="263"/>
      <c r="B55" s="209">
        <v>35</v>
      </c>
      <c r="C55" s="236" t="str">
        <f t="shared" si="1"/>
        <v/>
      </c>
      <c r="D55" s="364"/>
      <c r="E55" s="364"/>
      <c r="F55" s="365"/>
      <c r="G55" s="189"/>
      <c r="H55" s="189"/>
      <c r="I55" s="189"/>
      <c r="J55" s="189"/>
      <c r="K55" s="189"/>
      <c r="L55" s="189"/>
      <c r="M55" s="235">
        <f t="shared" si="2"/>
        <v>0</v>
      </c>
    </row>
    <row r="56" spans="1:13" x14ac:dyDescent="0.3">
      <c r="A56" s="263"/>
      <c r="B56" s="209">
        <v>36</v>
      </c>
      <c r="C56" s="236" t="str">
        <f t="shared" si="1"/>
        <v/>
      </c>
      <c r="D56" s="364"/>
      <c r="E56" s="364"/>
      <c r="F56" s="365"/>
      <c r="G56" s="189"/>
      <c r="H56" s="189"/>
      <c r="I56" s="189"/>
      <c r="J56" s="189"/>
      <c r="K56" s="189"/>
      <c r="L56" s="189"/>
      <c r="M56" s="235">
        <f t="shared" si="2"/>
        <v>0</v>
      </c>
    </row>
    <row r="57" spans="1:13" x14ac:dyDescent="0.3">
      <c r="A57" s="263"/>
      <c r="B57" s="209">
        <v>37</v>
      </c>
      <c r="C57" s="236" t="str">
        <f t="shared" si="1"/>
        <v/>
      </c>
      <c r="D57" s="364"/>
      <c r="E57" s="364"/>
      <c r="F57" s="365"/>
      <c r="G57" s="189"/>
      <c r="H57" s="189"/>
      <c r="I57" s="189"/>
      <c r="J57" s="189"/>
      <c r="K57" s="189"/>
      <c r="L57" s="189"/>
      <c r="M57" s="235">
        <f t="shared" si="2"/>
        <v>0</v>
      </c>
    </row>
    <row r="58" spans="1:13" x14ac:dyDescent="0.3">
      <c r="A58" s="263"/>
      <c r="B58" s="209">
        <v>38</v>
      </c>
      <c r="C58" s="236" t="str">
        <f t="shared" si="1"/>
        <v/>
      </c>
      <c r="D58" s="364"/>
      <c r="E58" s="364"/>
      <c r="F58" s="365"/>
      <c r="G58" s="189"/>
      <c r="H58" s="189"/>
      <c r="I58" s="189"/>
      <c r="J58" s="189"/>
      <c r="K58" s="189"/>
      <c r="L58" s="189"/>
      <c r="M58" s="235">
        <f t="shared" si="2"/>
        <v>0</v>
      </c>
    </row>
    <row r="59" spans="1:13" x14ac:dyDescent="0.3">
      <c r="A59" s="263"/>
      <c r="B59" s="209">
        <v>39</v>
      </c>
      <c r="C59" s="236" t="str">
        <f t="shared" si="1"/>
        <v/>
      </c>
      <c r="D59" s="364"/>
      <c r="E59" s="364"/>
      <c r="F59" s="365"/>
      <c r="G59" s="189"/>
      <c r="H59" s="189"/>
      <c r="I59" s="189"/>
      <c r="J59" s="189"/>
      <c r="K59" s="189"/>
      <c r="L59" s="189"/>
      <c r="M59" s="235">
        <f t="shared" si="2"/>
        <v>0</v>
      </c>
    </row>
    <row r="60" spans="1:13" x14ac:dyDescent="0.3">
      <c r="A60" s="263"/>
      <c r="B60" s="209">
        <v>40</v>
      </c>
      <c r="C60" s="236" t="str">
        <f t="shared" si="1"/>
        <v/>
      </c>
      <c r="D60" s="364"/>
      <c r="E60" s="364"/>
      <c r="F60" s="365"/>
      <c r="G60" s="189"/>
      <c r="H60" s="189"/>
      <c r="I60" s="189"/>
      <c r="J60" s="189"/>
      <c r="K60" s="189"/>
      <c r="L60" s="189"/>
      <c r="M60" s="235">
        <f t="shared" si="2"/>
        <v>0</v>
      </c>
    </row>
    <row r="61" spans="1:13" x14ac:dyDescent="0.3">
      <c r="A61" s="263"/>
      <c r="B61" s="209">
        <v>41</v>
      </c>
      <c r="C61" s="236" t="str">
        <f t="shared" si="1"/>
        <v/>
      </c>
      <c r="D61" s="364"/>
      <c r="E61" s="364"/>
      <c r="F61" s="365"/>
      <c r="G61" s="189"/>
      <c r="H61" s="189"/>
      <c r="I61" s="189"/>
      <c r="J61" s="189"/>
      <c r="K61" s="189"/>
      <c r="L61" s="189"/>
      <c r="M61" s="235">
        <f t="shared" si="2"/>
        <v>0</v>
      </c>
    </row>
    <row r="62" spans="1:13" x14ac:dyDescent="0.3">
      <c r="A62" s="263"/>
      <c r="B62" s="209">
        <v>42</v>
      </c>
      <c r="C62" s="236" t="str">
        <f t="shared" si="1"/>
        <v/>
      </c>
      <c r="D62" s="364"/>
      <c r="E62" s="364"/>
      <c r="F62" s="365"/>
      <c r="G62" s="189"/>
      <c r="H62" s="189"/>
      <c r="I62" s="189"/>
      <c r="J62" s="189"/>
      <c r="K62" s="189"/>
      <c r="L62" s="189"/>
      <c r="M62" s="235">
        <f t="shared" si="2"/>
        <v>0</v>
      </c>
    </row>
    <row r="63" spans="1:13" x14ac:dyDescent="0.3">
      <c r="A63" s="263"/>
      <c r="B63" s="209">
        <v>43</v>
      </c>
      <c r="C63" s="236" t="str">
        <f t="shared" si="1"/>
        <v/>
      </c>
      <c r="D63" s="364"/>
      <c r="E63" s="364"/>
      <c r="F63" s="365"/>
      <c r="G63" s="189"/>
      <c r="H63" s="189"/>
      <c r="I63" s="189"/>
      <c r="J63" s="189"/>
      <c r="K63" s="189"/>
      <c r="L63" s="189"/>
      <c r="M63" s="235">
        <f t="shared" si="2"/>
        <v>0</v>
      </c>
    </row>
    <row r="64" spans="1:13" x14ac:dyDescent="0.3">
      <c r="A64" s="263"/>
      <c r="B64" s="209">
        <v>44</v>
      </c>
      <c r="C64" s="236" t="str">
        <f t="shared" si="1"/>
        <v/>
      </c>
      <c r="D64" s="364"/>
      <c r="E64" s="364"/>
      <c r="F64" s="365"/>
      <c r="G64" s="189"/>
      <c r="H64" s="189"/>
      <c r="I64" s="189"/>
      <c r="J64" s="189"/>
      <c r="K64" s="189"/>
      <c r="L64" s="189"/>
      <c r="M64" s="235">
        <f t="shared" si="2"/>
        <v>0</v>
      </c>
    </row>
    <row r="65" spans="1:13" x14ac:dyDescent="0.3">
      <c r="A65" s="263"/>
      <c r="B65" s="209">
        <v>45</v>
      </c>
      <c r="C65" s="236" t="str">
        <f t="shared" si="1"/>
        <v/>
      </c>
      <c r="D65" s="364"/>
      <c r="E65" s="364"/>
      <c r="F65" s="365"/>
      <c r="G65" s="189"/>
      <c r="H65" s="189"/>
      <c r="I65" s="189"/>
      <c r="J65" s="189"/>
      <c r="K65" s="189"/>
      <c r="L65" s="189"/>
      <c r="M65" s="235">
        <f t="shared" si="2"/>
        <v>0</v>
      </c>
    </row>
    <row r="66" spans="1:13" x14ac:dyDescent="0.3">
      <c r="A66" s="263"/>
      <c r="B66" s="209">
        <v>46</v>
      </c>
      <c r="C66" s="236" t="str">
        <f t="shared" ref="C66:C97" si="3">IF(M66&lt;&gt;0,VLOOKUP($D$9,Info_County_Code,2,FALSE),"")</f>
        <v/>
      </c>
      <c r="D66" s="364"/>
      <c r="E66" s="364"/>
      <c r="F66" s="365"/>
      <c r="G66" s="189"/>
      <c r="H66" s="189"/>
      <c r="I66" s="189"/>
      <c r="J66" s="189"/>
      <c r="K66" s="189"/>
      <c r="L66" s="189"/>
      <c r="M66" s="235">
        <f t="shared" ref="M66:M97" si="4">SUM(G66:L66)</f>
        <v>0</v>
      </c>
    </row>
    <row r="67" spans="1:13" x14ac:dyDescent="0.3">
      <c r="A67" s="263"/>
      <c r="B67" s="209">
        <v>47</v>
      </c>
      <c r="C67" s="236" t="str">
        <f t="shared" si="3"/>
        <v/>
      </c>
      <c r="D67" s="364"/>
      <c r="E67" s="364"/>
      <c r="F67" s="365"/>
      <c r="G67" s="189"/>
      <c r="H67" s="189"/>
      <c r="I67" s="189"/>
      <c r="J67" s="189"/>
      <c r="K67" s="189"/>
      <c r="L67" s="189"/>
      <c r="M67" s="235">
        <f t="shared" si="4"/>
        <v>0</v>
      </c>
    </row>
    <row r="68" spans="1:13" x14ac:dyDescent="0.3">
      <c r="A68" s="263"/>
      <c r="B68" s="209">
        <v>48</v>
      </c>
      <c r="C68" s="236" t="str">
        <f t="shared" si="3"/>
        <v/>
      </c>
      <c r="D68" s="364"/>
      <c r="E68" s="364"/>
      <c r="F68" s="365"/>
      <c r="G68" s="189"/>
      <c r="H68" s="189"/>
      <c r="I68" s="189"/>
      <c r="J68" s="189"/>
      <c r="K68" s="189"/>
      <c r="L68" s="189"/>
      <c r="M68" s="235">
        <f t="shared" si="4"/>
        <v>0</v>
      </c>
    </row>
    <row r="69" spans="1:13" x14ac:dyDescent="0.3">
      <c r="A69" s="263"/>
      <c r="B69" s="209">
        <v>49</v>
      </c>
      <c r="C69" s="236" t="str">
        <f t="shared" si="3"/>
        <v/>
      </c>
      <c r="D69" s="364"/>
      <c r="E69" s="364"/>
      <c r="F69" s="365"/>
      <c r="G69" s="189"/>
      <c r="H69" s="189"/>
      <c r="I69" s="189"/>
      <c r="J69" s="189"/>
      <c r="K69" s="189"/>
      <c r="L69" s="189"/>
      <c r="M69" s="235">
        <f t="shared" si="4"/>
        <v>0</v>
      </c>
    </row>
    <row r="70" spans="1:13" x14ac:dyDescent="0.3">
      <c r="A70" s="263"/>
      <c r="B70" s="209">
        <v>50</v>
      </c>
      <c r="C70" s="236" t="str">
        <f t="shared" si="3"/>
        <v/>
      </c>
      <c r="D70" s="364"/>
      <c r="E70" s="364"/>
      <c r="F70" s="365"/>
      <c r="G70" s="189"/>
      <c r="H70" s="189"/>
      <c r="I70" s="189"/>
      <c r="J70" s="189"/>
      <c r="K70" s="189"/>
      <c r="L70" s="189"/>
      <c r="M70" s="235">
        <f t="shared" si="4"/>
        <v>0</v>
      </c>
    </row>
    <row r="71" spans="1:13" x14ac:dyDescent="0.3">
      <c r="A71" s="263"/>
      <c r="B71" s="209">
        <v>51</v>
      </c>
      <c r="C71" s="236" t="str">
        <f t="shared" si="3"/>
        <v/>
      </c>
      <c r="D71" s="364"/>
      <c r="E71" s="364"/>
      <c r="F71" s="365"/>
      <c r="G71" s="189"/>
      <c r="H71" s="189"/>
      <c r="I71" s="189"/>
      <c r="J71" s="189"/>
      <c r="K71" s="189"/>
      <c r="L71" s="189"/>
      <c r="M71" s="235">
        <f t="shared" si="4"/>
        <v>0</v>
      </c>
    </row>
    <row r="72" spans="1:13" x14ac:dyDescent="0.3">
      <c r="A72" s="263"/>
      <c r="B72" s="209">
        <v>52</v>
      </c>
      <c r="C72" s="236" t="str">
        <f t="shared" si="3"/>
        <v/>
      </c>
      <c r="D72" s="364"/>
      <c r="E72" s="364"/>
      <c r="F72" s="365"/>
      <c r="G72" s="189"/>
      <c r="H72" s="189"/>
      <c r="I72" s="189"/>
      <c r="J72" s="189"/>
      <c r="K72" s="189"/>
      <c r="L72" s="189"/>
      <c r="M72" s="235">
        <f t="shared" si="4"/>
        <v>0</v>
      </c>
    </row>
    <row r="73" spans="1:13" x14ac:dyDescent="0.3">
      <c r="A73" s="263"/>
      <c r="B73" s="209">
        <v>53</v>
      </c>
      <c r="C73" s="236" t="str">
        <f t="shared" si="3"/>
        <v/>
      </c>
      <c r="D73" s="364"/>
      <c r="E73" s="364"/>
      <c r="F73" s="365"/>
      <c r="G73" s="189"/>
      <c r="H73" s="189"/>
      <c r="I73" s="189"/>
      <c r="J73" s="189"/>
      <c r="K73" s="189"/>
      <c r="L73" s="189"/>
      <c r="M73" s="235">
        <f t="shared" si="4"/>
        <v>0</v>
      </c>
    </row>
    <row r="74" spans="1:13" x14ac:dyDescent="0.3">
      <c r="A74" s="263"/>
      <c r="B74" s="209">
        <v>54</v>
      </c>
      <c r="C74" s="236" t="str">
        <f t="shared" si="3"/>
        <v/>
      </c>
      <c r="D74" s="364"/>
      <c r="E74" s="364"/>
      <c r="F74" s="365"/>
      <c r="G74" s="189"/>
      <c r="H74" s="189"/>
      <c r="I74" s="189"/>
      <c r="J74" s="189"/>
      <c r="K74" s="189"/>
      <c r="L74" s="189"/>
      <c r="M74" s="235">
        <f t="shared" si="4"/>
        <v>0</v>
      </c>
    </row>
    <row r="75" spans="1:13" x14ac:dyDescent="0.3">
      <c r="A75" s="263"/>
      <c r="B75" s="209">
        <v>55</v>
      </c>
      <c r="C75" s="236" t="str">
        <f t="shared" si="3"/>
        <v/>
      </c>
      <c r="D75" s="364"/>
      <c r="E75" s="364"/>
      <c r="F75" s="365"/>
      <c r="G75" s="189"/>
      <c r="H75" s="189"/>
      <c r="I75" s="189"/>
      <c r="J75" s="189"/>
      <c r="K75" s="189"/>
      <c r="L75" s="189"/>
      <c r="M75" s="235">
        <f t="shared" si="4"/>
        <v>0</v>
      </c>
    </row>
    <row r="76" spans="1:13" x14ac:dyDescent="0.3">
      <c r="A76" s="263"/>
      <c r="B76" s="209">
        <v>56</v>
      </c>
      <c r="C76" s="236" t="str">
        <f t="shared" si="3"/>
        <v/>
      </c>
      <c r="D76" s="364"/>
      <c r="E76" s="364"/>
      <c r="F76" s="365"/>
      <c r="G76" s="189"/>
      <c r="H76" s="189"/>
      <c r="I76" s="189"/>
      <c r="J76" s="189"/>
      <c r="K76" s="189"/>
      <c r="L76" s="189"/>
      <c r="M76" s="235">
        <f t="shared" si="4"/>
        <v>0</v>
      </c>
    </row>
    <row r="77" spans="1:13" x14ac:dyDescent="0.3">
      <c r="A77" s="263"/>
      <c r="B77" s="209">
        <v>57</v>
      </c>
      <c r="C77" s="236" t="str">
        <f t="shared" si="3"/>
        <v/>
      </c>
      <c r="D77" s="364"/>
      <c r="E77" s="364"/>
      <c r="F77" s="365"/>
      <c r="G77" s="189"/>
      <c r="H77" s="189"/>
      <c r="I77" s="189"/>
      <c r="J77" s="189"/>
      <c r="K77" s="189"/>
      <c r="L77" s="189"/>
      <c r="M77" s="235">
        <f t="shared" si="4"/>
        <v>0</v>
      </c>
    </row>
    <row r="78" spans="1:13" x14ac:dyDescent="0.3">
      <c r="A78" s="263"/>
      <c r="B78" s="209">
        <v>58</v>
      </c>
      <c r="C78" s="236" t="str">
        <f t="shared" si="3"/>
        <v/>
      </c>
      <c r="D78" s="364"/>
      <c r="E78" s="364"/>
      <c r="F78" s="365"/>
      <c r="G78" s="189"/>
      <c r="H78" s="189"/>
      <c r="I78" s="189"/>
      <c r="J78" s="189"/>
      <c r="K78" s="189"/>
      <c r="L78" s="189"/>
      <c r="M78" s="235">
        <f t="shared" si="4"/>
        <v>0</v>
      </c>
    </row>
    <row r="79" spans="1:13" x14ac:dyDescent="0.3">
      <c r="A79" s="263"/>
      <c r="B79" s="209">
        <v>59</v>
      </c>
      <c r="C79" s="236" t="str">
        <f t="shared" si="3"/>
        <v/>
      </c>
      <c r="D79" s="364"/>
      <c r="E79" s="364"/>
      <c r="F79" s="365"/>
      <c r="G79" s="189"/>
      <c r="H79" s="189"/>
      <c r="I79" s="189"/>
      <c r="J79" s="189"/>
      <c r="K79" s="189"/>
      <c r="L79" s="189"/>
      <c r="M79" s="235">
        <f t="shared" si="4"/>
        <v>0</v>
      </c>
    </row>
    <row r="80" spans="1:13" x14ac:dyDescent="0.3">
      <c r="A80" s="263"/>
      <c r="B80" s="209">
        <v>60</v>
      </c>
      <c r="C80" s="236" t="str">
        <f t="shared" si="3"/>
        <v/>
      </c>
      <c r="D80" s="364"/>
      <c r="E80" s="364"/>
      <c r="F80" s="365"/>
      <c r="G80" s="189"/>
      <c r="H80" s="189"/>
      <c r="I80" s="189"/>
      <c r="J80" s="189"/>
      <c r="K80" s="189"/>
      <c r="L80" s="189"/>
      <c r="M80" s="235">
        <f t="shared" si="4"/>
        <v>0</v>
      </c>
    </row>
    <row r="81" spans="1:13" x14ac:dyDescent="0.3">
      <c r="A81" s="263"/>
      <c r="B81" s="209">
        <v>61</v>
      </c>
      <c r="C81" s="236" t="str">
        <f t="shared" si="3"/>
        <v/>
      </c>
      <c r="D81" s="364"/>
      <c r="E81" s="364"/>
      <c r="F81" s="365"/>
      <c r="G81" s="189"/>
      <c r="H81" s="189"/>
      <c r="I81" s="189"/>
      <c r="J81" s="189"/>
      <c r="K81" s="189"/>
      <c r="L81" s="189"/>
      <c r="M81" s="235">
        <f t="shared" si="4"/>
        <v>0</v>
      </c>
    </row>
    <row r="82" spans="1:13" x14ac:dyDescent="0.3">
      <c r="A82" s="263"/>
      <c r="B82" s="209">
        <v>62</v>
      </c>
      <c r="C82" s="236" t="str">
        <f t="shared" si="3"/>
        <v/>
      </c>
      <c r="D82" s="364"/>
      <c r="E82" s="364"/>
      <c r="F82" s="365"/>
      <c r="G82" s="189"/>
      <c r="H82" s="189"/>
      <c r="I82" s="189"/>
      <c r="J82" s="189"/>
      <c r="K82" s="189"/>
      <c r="L82" s="189"/>
      <c r="M82" s="235">
        <f t="shared" si="4"/>
        <v>0</v>
      </c>
    </row>
    <row r="83" spans="1:13" x14ac:dyDescent="0.3">
      <c r="A83" s="263"/>
      <c r="B83" s="209">
        <v>63</v>
      </c>
      <c r="C83" s="236" t="str">
        <f t="shared" si="3"/>
        <v/>
      </c>
      <c r="D83" s="364"/>
      <c r="E83" s="364"/>
      <c r="F83" s="365"/>
      <c r="G83" s="189"/>
      <c r="H83" s="189"/>
      <c r="I83" s="189"/>
      <c r="J83" s="189"/>
      <c r="K83" s="189"/>
      <c r="L83" s="189"/>
      <c r="M83" s="235">
        <f t="shared" si="4"/>
        <v>0</v>
      </c>
    </row>
    <row r="84" spans="1:13" x14ac:dyDescent="0.3">
      <c r="A84" s="263"/>
      <c r="B84" s="209">
        <v>64</v>
      </c>
      <c r="C84" s="236" t="str">
        <f t="shared" si="3"/>
        <v/>
      </c>
      <c r="D84" s="364"/>
      <c r="E84" s="364"/>
      <c r="F84" s="365"/>
      <c r="G84" s="189"/>
      <c r="H84" s="189"/>
      <c r="I84" s="189"/>
      <c r="J84" s="189"/>
      <c r="K84" s="189"/>
      <c r="L84" s="189"/>
      <c r="M84" s="235">
        <f t="shared" si="4"/>
        <v>0</v>
      </c>
    </row>
    <row r="85" spans="1:13" x14ac:dyDescent="0.3">
      <c r="A85" s="263"/>
      <c r="B85" s="209">
        <v>65</v>
      </c>
      <c r="C85" s="236" t="str">
        <f t="shared" si="3"/>
        <v/>
      </c>
      <c r="D85" s="364"/>
      <c r="E85" s="364"/>
      <c r="F85" s="365"/>
      <c r="G85" s="189"/>
      <c r="H85" s="189"/>
      <c r="I85" s="189"/>
      <c r="J85" s="189"/>
      <c r="K85" s="189"/>
      <c r="L85" s="189"/>
      <c r="M85" s="235">
        <f t="shared" si="4"/>
        <v>0</v>
      </c>
    </row>
    <row r="86" spans="1:13" x14ac:dyDescent="0.3">
      <c r="A86" s="263"/>
      <c r="B86" s="209">
        <v>66</v>
      </c>
      <c r="C86" s="236" t="str">
        <f t="shared" si="3"/>
        <v/>
      </c>
      <c r="D86" s="364"/>
      <c r="E86" s="364"/>
      <c r="F86" s="365"/>
      <c r="G86" s="189"/>
      <c r="H86" s="189"/>
      <c r="I86" s="189"/>
      <c r="J86" s="189"/>
      <c r="K86" s="189"/>
      <c r="L86" s="189"/>
      <c r="M86" s="235">
        <f t="shared" si="4"/>
        <v>0</v>
      </c>
    </row>
    <row r="87" spans="1:13" x14ac:dyDescent="0.3">
      <c r="A87" s="263"/>
      <c r="B87" s="209">
        <v>67</v>
      </c>
      <c r="C87" s="236" t="str">
        <f t="shared" si="3"/>
        <v/>
      </c>
      <c r="D87" s="364"/>
      <c r="E87" s="364"/>
      <c r="F87" s="365"/>
      <c r="G87" s="189"/>
      <c r="H87" s="189"/>
      <c r="I87" s="189"/>
      <c r="J87" s="189"/>
      <c r="K87" s="189"/>
      <c r="L87" s="189"/>
      <c r="M87" s="235">
        <f t="shared" si="4"/>
        <v>0</v>
      </c>
    </row>
    <row r="88" spans="1:13" x14ac:dyDescent="0.3">
      <c r="A88" s="263"/>
      <c r="B88" s="209">
        <v>68</v>
      </c>
      <c r="C88" s="236" t="str">
        <f t="shared" si="3"/>
        <v/>
      </c>
      <c r="D88" s="364"/>
      <c r="E88" s="364"/>
      <c r="F88" s="365"/>
      <c r="G88" s="189"/>
      <c r="H88" s="189"/>
      <c r="I88" s="189"/>
      <c r="J88" s="189"/>
      <c r="K88" s="189"/>
      <c r="L88" s="189"/>
      <c r="M88" s="235">
        <f t="shared" si="4"/>
        <v>0</v>
      </c>
    </row>
    <row r="89" spans="1:13" x14ac:dyDescent="0.3">
      <c r="A89" s="263"/>
      <c r="B89" s="209">
        <v>69</v>
      </c>
      <c r="C89" s="236" t="str">
        <f t="shared" si="3"/>
        <v/>
      </c>
      <c r="D89" s="364"/>
      <c r="E89" s="364"/>
      <c r="F89" s="365"/>
      <c r="G89" s="189"/>
      <c r="H89" s="189"/>
      <c r="I89" s="189"/>
      <c r="J89" s="189"/>
      <c r="K89" s="189"/>
      <c r="L89" s="189"/>
      <c r="M89" s="235">
        <f t="shared" si="4"/>
        <v>0</v>
      </c>
    </row>
    <row r="90" spans="1:13" x14ac:dyDescent="0.3">
      <c r="A90" s="263"/>
      <c r="B90" s="209">
        <v>70</v>
      </c>
      <c r="C90" s="236" t="str">
        <f t="shared" si="3"/>
        <v/>
      </c>
      <c r="D90" s="364"/>
      <c r="E90" s="364"/>
      <c r="F90" s="365"/>
      <c r="G90" s="189"/>
      <c r="H90" s="189"/>
      <c r="I90" s="189"/>
      <c r="J90" s="189"/>
      <c r="K90" s="189"/>
      <c r="L90" s="189"/>
      <c r="M90" s="235">
        <f t="shared" si="4"/>
        <v>0</v>
      </c>
    </row>
    <row r="91" spans="1:13" x14ac:dyDescent="0.3">
      <c r="A91" s="263"/>
      <c r="B91" s="209">
        <v>71</v>
      </c>
      <c r="C91" s="236" t="str">
        <f t="shared" si="3"/>
        <v/>
      </c>
      <c r="D91" s="364"/>
      <c r="E91" s="364"/>
      <c r="F91" s="365"/>
      <c r="G91" s="189"/>
      <c r="H91" s="189"/>
      <c r="I91" s="189"/>
      <c r="J91" s="189"/>
      <c r="K91" s="189"/>
      <c r="L91" s="189"/>
      <c r="M91" s="235">
        <f t="shared" si="4"/>
        <v>0</v>
      </c>
    </row>
    <row r="92" spans="1:13" x14ac:dyDescent="0.3">
      <c r="A92" s="263"/>
      <c r="B92" s="209">
        <v>72</v>
      </c>
      <c r="C92" s="236" t="str">
        <f t="shared" si="3"/>
        <v/>
      </c>
      <c r="D92" s="364"/>
      <c r="E92" s="364"/>
      <c r="F92" s="365"/>
      <c r="G92" s="189"/>
      <c r="H92" s="189"/>
      <c r="I92" s="189"/>
      <c r="J92" s="189"/>
      <c r="K92" s="189"/>
      <c r="L92" s="189"/>
      <c r="M92" s="235">
        <f t="shared" si="4"/>
        <v>0</v>
      </c>
    </row>
    <row r="93" spans="1:13" x14ac:dyDescent="0.3">
      <c r="A93" s="263"/>
      <c r="B93" s="209">
        <v>73</v>
      </c>
      <c r="C93" s="236" t="str">
        <f t="shared" si="3"/>
        <v/>
      </c>
      <c r="D93" s="364"/>
      <c r="E93" s="364"/>
      <c r="F93" s="365"/>
      <c r="G93" s="189"/>
      <c r="H93" s="189"/>
      <c r="I93" s="189"/>
      <c r="J93" s="189"/>
      <c r="K93" s="189"/>
      <c r="L93" s="189"/>
      <c r="M93" s="235">
        <f t="shared" si="4"/>
        <v>0</v>
      </c>
    </row>
    <row r="94" spans="1:13" x14ac:dyDescent="0.3">
      <c r="A94" s="263"/>
      <c r="B94" s="209">
        <v>74</v>
      </c>
      <c r="C94" s="236" t="str">
        <f t="shared" si="3"/>
        <v/>
      </c>
      <c r="D94" s="364"/>
      <c r="E94" s="364"/>
      <c r="F94" s="365"/>
      <c r="G94" s="189"/>
      <c r="H94" s="189"/>
      <c r="I94" s="189"/>
      <c r="J94" s="189"/>
      <c r="K94" s="189"/>
      <c r="L94" s="189"/>
      <c r="M94" s="235">
        <f t="shared" si="4"/>
        <v>0</v>
      </c>
    </row>
    <row r="95" spans="1:13" x14ac:dyDescent="0.3">
      <c r="A95" s="263"/>
      <c r="B95" s="209">
        <v>75</v>
      </c>
      <c r="C95" s="236" t="str">
        <f t="shared" si="3"/>
        <v/>
      </c>
      <c r="D95" s="364"/>
      <c r="E95" s="364"/>
      <c r="F95" s="365"/>
      <c r="G95" s="189"/>
      <c r="H95" s="189"/>
      <c r="I95" s="189"/>
      <c r="J95" s="189"/>
      <c r="K95" s="189"/>
      <c r="L95" s="189"/>
      <c r="M95" s="235">
        <f t="shared" si="4"/>
        <v>0</v>
      </c>
    </row>
    <row r="96" spans="1:13" x14ac:dyDescent="0.3">
      <c r="A96" s="263"/>
      <c r="B96" s="209">
        <v>76</v>
      </c>
      <c r="C96" s="236" t="str">
        <f t="shared" si="3"/>
        <v/>
      </c>
      <c r="D96" s="364"/>
      <c r="E96" s="364"/>
      <c r="F96" s="365"/>
      <c r="G96" s="189"/>
      <c r="H96" s="189"/>
      <c r="I96" s="189"/>
      <c r="J96" s="189"/>
      <c r="K96" s="189"/>
      <c r="L96" s="189"/>
      <c r="M96" s="235">
        <f t="shared" si="4"/>
        <v>0</v>
      </c>
    </row>
    <row r="97" spans="1:13" x14ac:dyDescent="0.3">
      <c r="A97" s="263"/>
      <c r="B97" s="209">
        <v>77</v>
      </c>
      <c r="C97" s="236" t="str">
        <f t="shared" si="3"/>
        <v/>
      </c>
      <c r="D97" s="364"/>
      <c r="E97" s="364"/>
      <c r="F97" s="365"/>
      <c r="G97" s="189"/>
      <c r="H97" s="189"/>
      <c r="I97" s="189"/>
      <c r="J97" s="189"/>
      <c r="K97" s="189"/>
      <c r="L97" s="189"/>
      <c r="M97" s="235">
        <f t="shared" si="4"/>
        <v>0</v>
      </c>
    </row>
    <row r="98" spans="1:13" x14ac:dyDescent="0.3">
      <c r="A98" s="263"/>
      <c r="B98" s="209">
        <v>78</v>
      </c>
      <c r="C98" s="236" t="str">
        <f t="shared" ref="C98:C132" si="5">IF(M98&lt;&gt;0,VLOOKUP($D$9,Info_County_Code,2,FALSE),"")</f>
        <v/>
      </c>
      <c r="D98" s="364"/>
      <c r="E98" s="364"/>
      <c r="F98" s="365"/>
      <c r="G98" s="189"/>
      <c r="H98" s="189"/>
      <c r="I98" s="189"/>
      <c r="J98" s="189"/>
      <c r="K98" s="189"/>
      <c r="L98" s="189"/>
      <c r="M98" s="235">
        <f t="shared" ref="M98:M129" si="6">SUM(G98:L98)</f>
        <v>0</v>
      </c>
    </row>
    <row r="99" spans="1:13" x14ac:dyDescent="0.3">
      <c r="A99" s="263"/>
      <c r="B99" s="209">
        <v>79</v>
      </c>
      <c r="C99" s="236" t="str">
        <f t="shared" si="5"/>
        <v/>
      </c>
      <c r="D99" s="364"/>
      <c r="E99" s="364"/>
      <c r="F99" s="365"/>
      <c r="G99" s="189"/>
      <c r="H99" s="189"/>
      <c r="I99" s="189"/>
      <c r="J99" s="189"/>
      <c r="K99" s="189"/>
      <c r="L99" s="189"/>
      <c r="M99" s="235">
        <f t="shared" si="6"/>
        <v>0</v>
      </c>
    </row>
    <row r="100" spans="1:13" x14ac:dyDescent="0.3">
      <c r="A100" s="263"/>
      <c r="B100" s="209">
        <v>80</v>
      </c>
      <c r="C100" s="236" t="str">
        <f t="shared" si="5"/>
        <v/>
      </c>
      <c r="D100" s="364"/>
      <c r="E100" s="364"/>
      <c r="F100" s="365"/>
      <c r="G100" s="189"/>
      <c r="H100" s="189"/>
      <c r="I100" s="189"/>
      <c r="J100" s="189"/>
      <c r="K100" s="189"/>
      <c r="L100" s="189"/>
      <c r="M100" s="235">
        <f t="shared" si="6"/>
        <v>0</v>
      </c>
    </row>
    <row r="101" spans="1:13" x14ac:dyDescent="0.3">
      <c r="A101" s="263"/>
      <c r="B101" s="209">
        <v>81</v>
      </c>
      <c r="C101" s="236" t="str">
        <f t="shared" si="5"/>
        <v/>
      </c>
      <c r="D101" s="364"/>
      <c r="E101" s="364"/>
      <c r="F101" s="365"/>
      <c r="G101" s="189"/>
      <c r="H101" s="189"/>
      <c r="I101" s="189"/>
      <c r="J101" s="189"/>
      <c r="K101" s="189"/>
      <c r="L101" s="189"/>
      <c r="M101" s="235">
        <f t="shared" si="6"/>
        <v>0</v>
      </c>
    </row>
    <row r="102" spans="1:13" x14ac:dyDescent="0.3">
      <c r="A102" s="263"/>
      <c r="B102" s="209">
        <v>82</v>
      </c>
      <c r="C102" s="236" t="str">
        <f t="shared" si="5"/>
        <v/>
      </c>
      <c r="D102" s="364"/>
      <c r="E102" s="364"/>
      <c r="F102" s="365"/>
      <c r="G102" s="189"/>
      <c r="H102" s="189"/>
      <c r="I102" s="189"/>
      <c r="J102" s="189"/>
      <c r="K102" s="189"/>
      <c r="L102" s="189"/>
      <c r="M102" s="235">
        <f t="shared" si="6"/>
        <v>0</v>
      </c>
    </row>
    <row r="103" spans="1:13" x14ac:dyDescent="0.3">
      <c r="A103" s="263"/>
      <c r="B103" s="209">
        <v>83</v>
      </c>
      <c r="C103" s="236" t="str">
        <f t="shared" si="5"/>
        <v/>
      </c>
      <c r="D103" s="364"/>
      <c r="E103" s="364"/>
      <c r="F103" s="365"/>
      <c r="G103" s="189"/>
      <c r="H103" s="189"/>
      <c r="I103" s="189"/>
      <c r="J103" s="189"/>
      <c r="K103" s="189"/>
      <c r="L103" s="189"/>
      <c r="M103" s="235">
        <f t="shared" si="6"/>
        <v>0</v>
      </c>
    </row>
    <row r="104" spans="1:13" x14ac:dyDescent="0.3">
      <c r="A104" s="263"/>
      <c r="B104" s="209">
        <v>84</v>
      </c>
      <c r="C104" s="236" t="str">
        <f t="shared" si="5"/>
        <v/>
      </c>
      <c r="D104" s="364"/>
      <c r="E104" s="364"/>
      <c r="F104" s="365"/>
      <c r="G104" s="189"/>
      <c r="H104" s="189"/>
      <c r="I104" s="189"/>
      <c r="J104" s="189"/>
      <c r="K104" s="189"/>
      <c r="L104" s="189"/>
      <c r="M104" s="235">
        <f t="shared" si="6"/>
        <v>0</v>
      </c>
    </row>
    <row r="105" spans="1:13" x14ac:dyDescent="0.3">
      <c r="A105" s="263"/>
      <c r="B105" s="209">
        <v>85</v>
      </c>
      <c r="C105" s="236" t="str">
        <f t="shared" si="5"/>
        <v/>
      </c>
      <c r="D105" s="364"/>
      <c r="E105" s="364"/>
      <c r="F105" s="365"/>
      <c r="G105" s="189"/>
      <c r="H105" s="189"/>
      <c r="I105" s="189"/>
      <c r="J105" s="189"/>
      <c r="K105" s="189"/>
      <c r="L105" s="189"/>
      <c r="M105" s="235">
        <f t="shared" si="6"/>
        <v>0</v>
      </c>
    </row>
    <row r="106" spans="1:13" x14ac:dyDescent="0.3">
      <c r="A106" s="263"/>
      <c r="B106" s="209">
        <v>86</v>
      </c>
      <c r="C106" s="236" t="str">
        <f t="shared" si="5"/>
        <v/>
      </c>
      <c r="D106" s="364"/>
      <c r="E106" s="364"/>
      <c r="F106" s="365"/>
      <c r="G106" s="189"/>
      <c r="H106" s="189"/>
      <c r="I106" s="189"/>
      <c r="J106" s="189"/>
      <c r="K106" s="189"/>
      <c r="L106" s="189"/>
      <c r="M106" s="235">
        <f t="shared" si="6"/>
        <v>0</v>
      </c>
    </row>
    <row r="107" spans="1:13" x14ac:dyDescent="0.3">
      <c r="A107" s="263"/>
      <c r="B107" s="209">
        <v>87</v>
      </c>
      <c r="C107" s="236" t="str">
        <f t="shared" si="5"/>
        <v/>
      </c>
      <c r="D107" s="364"/>
      <c r="E107" s="364"/>
      <c r="F107" s="365"/>
      <c r="G107" s="189"/>
      <c r="H107" s="189"/>
      <c r="I107" s="189"/>
      <c r="J107" s="189"/>
      <c r="K107" s="189"/>
      <c r="L107" s="189"/>
      <c r="M107" s="235">
        <f t="shared" si="6"/>
        <v>0</v>
      </c>
    </row>
    <row r="108" spans="1:13" x14ac:dyDescent="0.3">
      <c r="A108" s="263"/>
      <c r="B108" s="209">
        <v>88</v>
      </c>
      <c r="C108" s="236" t="str">
        <f t="shared" si="5"/>
        <v/>
      </c>
      <c r="D108" s="364"/>
      <c r="E108" s="364"/>
      <c r="F108" s="365"/>
      <c r="G108" s="189"/>
      <c r="H108" s="189"/>
      <c r="I108" s="189"/>
      <c r="J108" s="189"/>
      <c r="K108" s="189"/>
      <c r="L108" s="189"/>
      <c r="M108" s="235">
        <f t="shared" si="6"/>
        <v>0</v>
      </c>
    </row>
    <row r="109" spans="1:13" x14ac:dyDescent="0.3">
      <c r="A109" s="263"/>
      <c r="B109" s="209">
        <v>89</v>
      </c>
      <c r="C109" s="236" t="str">
        <f t="shared" si="5"/>
        <v/>
      </c>
      <c r="D109" s="364"/>
      <c r="E109" s="364"/>
      <c r="F109" s="365"/>
      <c r="G109" s="189"/>
      <c r="H109" s="189"/>
      <c r="I109" s="189"/>
      <c r="J109" s="189"/>
      <c r="K109" s="189"/>
      <c r="L109" s="189"/>
      <c r="M109" s="235">
        <f t="shared" si="6"/>
        <v>0</v>
      </c>
    </row>
    <row r="110" spans="1:13" x14ac:dyDescent="0.3">
      <c r="A110" s="263"/>
      <c r="B110" s="209">
        <v>90</v>
      </c>
      <c r="C110" s="236" t="str">
        <f t="shared" si="5"/>
        <v/>
      </c>
      <c r="D110" s="364"/>
      <c r="E110" s="364"/>
      <c r="F110" s="365"/>
      <c r="G110" s="189"/>
      <c r="H110" s="189"/>
      <c r="I110" s="189"/>
      <c r="J110" s="189"/>
      <c r="K110" s="189"/>
      <c r="L110" s="189"/>
      <c r="M110" s="235">
        <f t="shared" si="6"/>
        <v>0</v>
      </c>
    </row>
    <row r="111" spans="1:13" x14ac:dyDescent="0.3">
      <c r="A111" s="263"/>
      <c r="B111" s="209">
        <v>91</v>
      </c>
      <c r="C111" s="236" t="str">
        <f t="shared" si="5"/>
        <v/>
      </c>
      <c r="D111" s="364"/>
      <c r="E111" s="364"/>
      <c r="F111" s="365"/>
      <c r="G111" s="189"/>
      <c r="H111" s="189"/>
      <c r="I111" s="189"/>
      <c r="J111" s="189"/>
      <c r="K111" s="189"/>
      <c r="L111" s="189"/>
      <c r="M111" s="235">
        <f t="shared" si="6"/>
        <v>0</v>
      </c>
    </row>
    <row r="112" spans="1:13" x14ac:dyDescent="0.3">
      <c r="A112" s="263"/>
      <c r="B112" s="209">
        <v>92</v>
      </c>
      <c r="C112" s="236" t="str">
        <f t="shared" si="5"/>
        <v/>
      </c>
      <c r="D112" s="364"/>
      <c r="E112" s="364"/>
      <c r="F112" s="365"/>
      <c r="G112" s="189"/>
      <c r="H112" s="189"/>
      <c r="I112" s="189"/>
      <c r="J112" s="189"/>
      <c r="K112" s="189"/>
      <c r="L112" s="189"/>
      <c r="M112" s="235">
        <f t="shared" si="6"/>
        <v>0</v>
      </c>
    </row>
    <row r="113" spans="1:13" x14ac:dyDescent="0.3">
      <c r="A113" s="263"/>
      <c r="B113" s="209">
        <v>93</v>
      </c>
      <c r="C113" s="236" t="str">
        <f t="shared" si="5"/>
        <v/>
      </c>
      <c r="D113" s="364"/>
      <c r="E113" s="364"/>
      <c r="F113" s="365"/>
      <c r="G113" s="189"/>
      <c r="H113" s="189"/>
      <c r="I113" s="189"/>
      <c r="J113" s="189"/>
      <c r="K113" s="189"/>
      <c r="L113" s="189"/>
      <c r="M113" s="235">
        <f t="shared" si="6"/>
        <v>0</v>
      </c>
    </row>
    <row r="114" spans="1:13" x14ac:dyDescent="0.3">
      <c r="A114" s="263"/>
      <c r="B114" s="209">
        <v>94</v>
      </c>
      <c r="C114" s="236" t="str">
        <f t="shared" si="5"/>
        <v/>
      </c>
      <c r="D114" s="364"/>
      <c r="E114" s="364"/>
      <c r="F114" s="365"/>
      <c r="G114" s="189"/>
      <c r="H114" s="189"/>
      <c r="I114" s="189"/>
      <c r="J114" s="189"/>
      <c r="K114" s="189"/>
      <c r="L114" s="189"/>
      <c r="M114" s="235">
        <f t="shared" si="6"/>
        <v>0</v>
      </c>
    </row>
    <row r="115" spans="1:13" x14ac:dyDescent="0.3">
      <c r="A115" s="263"/>
      <c r="B115" s="209">
        <v>95</v>
      </c>
      <c r="C115" s="236" t="str">
        <f t="shared" si="5"/>
        <v/>
      </c>
      <c r="D115" s="364"/>
      <c r="E115" s="364"/>
      <c r="F115" s="365"/>
      <c r="G115" s="189"/>
      <c r="H115" s="189"/>
      <c r="I115" s="189"/>
      <c r="J115" s="189"/>
      <c r="K115" s="189"/>
      <c r="L115" s="189"/>
      <c r="M115" s="235">
        <f t="shared" si="6"/>
        <v>0</v>
      </c>
    </row>
    <row r="116" spans="1:13" x14ac:dyDescent="0.3">
      <c r="A116" s="263"/>
      <c r="B116" s="209">
        <v>96</v>
      </c>
      <c r="C116" s="236" t="str">
        <f t="shared" si="5"/>
        <v/>
      </c>
      <c r="D116" s="364"/>
      <c r="E116" s="364"/>
      <c r="F116" s="365"/>
      <c r="G116" s="189"/>
      <c r="H116" s="189"/>
      <c r="I116" s="189"/>
      <c r="J116" s="189"/>
      <c r="K116" s="189"/>
      <c r="L116" s="189"/>
      <c r="M116" s="235">
        <f t="shared" si="6"/>
        <v>0</v>
      </c>
    </row>
    <row r="117" spans="1:13" x14ac:dyDescent="0.3">
      <c r="A117" s="263"/>
      <c r="B117" s="209">
        <v>97</v>
      </c>
      <c r="C117" s="236" t="str">
        <f t="shared" si="5"/>
        <v/>
      </c>
      <c r="D117" s="364"/>
      <c r="E117" s="364"/>
      <c r="F117" s="365"/>
      <c r="G117" s="189"/>
      <c r="H117" s="189"/>
      <c r="I117" s="189"/>
      <c r="J117" s="189"/>
      <c r="K117" s="189"/>
      <c r="L117" s="189"/>
      <c r="M117" s="235">
        <f t="shared" si="6"/>
        <v>0</v>
      </c>
    </row>
    <row r="118" spans="1:13" x14ac:dyDescent="0.3">
      <c r="A118" s="263"/>
      <c r="B118" s="209">
        <v>98</v>
      </c>
      <c r="C118" s="236" t="str">
        <f t="shared" si="5"/>
        <v/>
      </c>
      <c r="D118" s="364"/>
      <c r="E118" s="364"/>
      <c r="F118" s="365"/>
      <c r="G118" s="189"/>
      <c r="H118" s="189"/>
      <c r="I118" s="189"/>
      <c r="J118" s="189"/>
      <c r="K118" s="189"/>
      <c r="L118" s="189"/>
      <c r="M118" s="235">
        <f t="shared" si="6"/>
        <v>0</v>
      </c>
    </row>
    <row r="119" spans="1:13" x14ac:dyDescent="0.3">
      <c r="A119" s="263"/>
      <c r="B119" s="209">
        <v>99</v>
      </c>
      <c r="C119" s="236" t="str">
        <f t="shared" si="5"/>
        <v/>
      </c>
      <c r="D119" s="364"/>
      <c r="E119" s="364"/>
      <c r="F119" s="365"/>
      <c r="G119" s="189"/>
      <c r="H119" s="189"/>
      <c r="I119" s="189"/>
      <c r="J119" s="189"/>
      <c r="K119" s="189"/>
      <c r="L119" s="189"/>
      <c r="M119" s="235">
        <f t="shared" si="6"/>
        <v>0</v>
      </c>
    </row>
    <row r="120" spans="1:13" x14ac:dyDescent="0.3">
      <c r="A120" s="263"/>
      <c r="B120" s="209">
        <v>100</v>
      </c>
      <c r="C120" s="236" t="str">
        <f t="shared" si="5"/>
        <v/>
      </c>
      <c r="D120" s="364"/>
      <c r="E120" s="364"/>
      <c r="F120" s="365"/>
      <c r="G120" s="189"/>
      <c r="H120" s="189"/>
      <c r="I120" s="189"/>
      <c r="J120" s="189"/>
      <c r="K120" s="189"/>
      <c r="L120" s="189"/>
      <c r="M120" s="235">
        <f t="shared" si="6"/>
        <v>0</v>
      </c>
    </row>
    <row r="121" spans="1:13" x14ac:dyDescent="0.3">
      <c r="A121" s="263"/>
      <c r="B121" s="209">
        <v>101</v>
      </c>
      <c r="C121" s="236" t="str">
        <f t="shared" si="5"/>
        <v/>
      </c>
      <c r="D121" s="364"/>
      <c r="E121" s="364"/>
      <c r="F121" s="365"/>
      <c r="G121" s="189"/>
      <c r="H121" s="189"/>
      <c r="I121" s="189"/>
      <c r="J121" s="189"/>
      <c r="K121" s="189"/>
      <c r="L121" s="189"/>
      <c r="M121" s="235">
        <f t="shared" si="6"/>
        <v>0</v>
      </c>
    </row>
    <row r="122" spans="1:13" x14ac:dyDescent="0.3">
      <c r="A122" s="263"/>
      <c r="B122" s="209">
        <v>102</v>
      </c>
      <c r="C122" s="236" t="str">
        <f t="shared" si="5"/>
        <v/>
      </c>
      <c r="D122" s="364"/>
      <c r="E122" s="364"/>
      <c r="F122" s="365"/>
      <c r="G122" s="189"/>
      <c r="H122" s="189"/>
      <c r="I122" s="189"/>
      <c r="J122" s="189"/>
      <c r="K122" s="189"/>
      <c r="L122" s="189"/>
      <c r="M122" s="235">
        <f t="shared" si="6"/>
        <v>0</v>
      </c>
    </row>
    <row r="123" spans="1:13" x14ac:dyDescent="0.3">
      <c r="A123" s="263"/>
      <c r="B123" s="209">
        <v>103</v>
      </c>
      <c r="C123" s="236" t="str">
        <f t="shared" si="5"/>
        <v/>
      </c>
      <c r="D123" s="364"/>
      <c r="E123" s="364"/>
      <c r="F123" s="365"/>
      <c r="G123" s="189"/>
      <c r="H123" s="189"/>
      <c r="I123" s="189"/>
      <c r="J123" s="189"/>
      <c r="K123" s="189"/>
      <c r="L123" s="189"/>
      <c r="M123" s="235">
        <f t="shared" si="6"/>
        <v>0</v>
      </c>
    </row>
    <row r="124" spans="1:13" x14ac:dyDescent="0.3">
      <c r="A124" s="263"/>
      <c r="B124" s="209">
        <v>104</v>
      </c>
      <c r="C124" s="236" t="str">
        <f t="shared" si="5"/>
        <v/>
      </c>
      <c r="D124" s="364"/>
      <c r="E124" s="364"/>
      <c r="F124" s="365"/>
      <c r="G124" s="189"/>
      <c r="H124" s="189"/>
      <c r="I124" s="189"/>
      <c r="J124" s="189"/>
      <c r="K124" s="189"/>
      <c r="L124" s="189"/>
      <c r="M124" s="235">
        <f t="shared" si="6"/>
        <v>0</v>
      </c>
    </row>
    <row r="125" spans="1:13" x14ac:dyDescent="0.3">
      <c r="A125" s="263"/>
      <c r="B125" s="209">
        <v>105</v>
      </c>
      <c r="C125" s="236" t="str">
        <f t="shared" si="5"/>
        <v/>
      </c>
      <c r="D125" s="364"/>
      <c r="E125" s="364"/>
      <c r="F125" s="365"/>
      <c r="G125" s="189"/>
      <c r="H125" s="189"/>
      <c r="I125" s="189"/>
      <c r="J125" s="189"/>
      <c r="K125" s="189"/>
      <c r="L125" s="189"/>
      <c r="M125" s="235">
        <f t="shared" si="6"/>
        <v>0</v>
      </c>
    </row>
    <row r="126" spans="1:13" x14ac:dyDescent="0.3">
      <c r="A126" s="263"/>
      <c r="B126" s="209">
        <v>106</v>
      </c>
      <c r="C126" s="236" t="str">
        <f t="shared" si="5"/>
        <v/>
      </c>
      <c r="D126" s="364"/>
      <c r="E126" s="364"/>
      <c r="F126" s="365"/>
      <c r="G126" s="189"/>
      <c r="H126" s="189"/>
      <c r="I126" s="189"/>
      <c r="J126" s="189"/>
      <c r="K126" s="189"/>
      <c r="L126" s="189"/>
      <c r="M126" s="235">
        <f t="shared" si="6"/>
        <v>0</v>
      </c>
    </row>
    <row r="127" spans="1:13" x14ac:dyDescent="0.3">
      <c r="A127" s="263"/>
      <c r="B127" s="209">
        <v>107</v>
      </c>
      <c r="C127" s="236" t="str">
        <f t="shared" si="5"/>
        <v/>
      </c>
      <c r="D127" s="364"/>
      <c r="E127" s="364"/>
      <c r="F127" s="365"/>
      <c r="G127" s="189"/>
      <c r="H127" s="189"/>
      <c r="I127" s="189"/>
      <c r="J127" s="189"/>
      <c r="K127" s="189"/>
      <c r="L127" s="189"/>
      <c r="M127" s="235">
        <f t="shared" si="6"/>
        <v>0</v>
      </c>
    </row>
    <row r="128" spans="1:13" x14ac:dyDescent="0.3">
      <c r="A128" s="263"/>
      <c r="B128" s="209">
        <v>108</v>
      </c>
      <c r="C128" s="236" t="str">
        <f t="shared" si="5"/>
        <v/>
      </c>
      <c r="D128" s="364"/>
      <c r="E128" s="364"/>
      <c r="F128" s="365"/>
      <c r="G128" s="189"/>
      <c r="H128" s="189"/>
      <c r="I128" s="189"/>
      <c r="J128" s="189"/>
      <c r="K128" s="189"/>
      <c r="L128" s="189"/>
      <c r="M128" s="235">
        <f t="shared" si="6"/>
        <v>0</v>
      </c>
    </row>
    <row r="129" spans="1:13" x14ac:dyDescent="0.3">
      <c r="A129" s="263"/>
      <c r="B129" s="209">
        <v>109</v>
      </c>
      <c r="C129" s="236" t="str">
        <f t="shared" si="5"/>
        <v/>
      </c>
      <c r="D129" s="364"/>
      <c r="E129" s="364"/>
      <c r="F129" s="365"/>
      <c r="G129" s="189"/>
      <c r="H129" s="189"/>
      <c r="I129" s="189"/>
      <c r="J129" s="189"/>
      <c r="K129" s="189"/>
      <c r="L129" s="189"/>
      <c r="M129" s="235">
        <f t="shared" si="6"/>
        <v>0</v>
      </c>
    </row>
    <row r="130" spans="1:13" x14ac:dyDescent="0.3">
      <c r="A130" s="263"/>
      <c r="B130" s="209">
        <v>110</v>
      </c>
      <c r="C130" s="236" t="str">
        <f t="shared" si="5"/>
        <v/>
      </c>
      <c r="D130" s="364"/>
      <c r="E130" s="364"/>
      <c r="F130" s="365"/>
      <c r="G130" s="189"/>
      <c r="H130" s="189"/>
      <c r="I130" s="189"/>
      <c r="J130" s="189"/>
      <c r="K130" s="189"/>
      <c r="L130" s="189"/>
      <c r="M130" s="235">
        <f t="shared" ref="M130:M133" si="7">SUM(G130:L130)</f>
        <v>0</v>
      </c>
    </row>
    <row r="131" spans="1:13" x14ac:dyDescent="0.3">
      <c r="A131" s="263"/>
      <c r="B131" s="209">
        <v>111</v>
      </c>
      <c r="C131" s="236" t="str">
        <f t="shared" si="5"/>
        <v/>
      </c>
      <c r="D131" s="364"/>
      <c r="E131" s="364"/>
      <c r="F131" s="365"/>
      <c r="G131" s="189"/>
      <c r="H131" s="189"/>
      <c r="I131" s="189"/>
      <c r="J131" s="189"/>
      <c r="K131" s="189"/>
      <c r="L131" s="189"/>
      <c r="M131" s="235">
        <f t="shared" si="7"/>
        <v>0</v>
      </c>
    </row>
    <row r="132" spans="1:13" x14ac:dyDescent="0.3">
      <c r="A132" s="263"/>
      <c r="B132" s="209">
        <v>112</v>
      </c>
      <c r="C132" s="236" t="str">
        <f t="shared" si="5"/>
        <v/>
      </c>
      <c r="D132" s="364"/>
      <c r="E132" s="364"/>
      <c r="F132" s="365"/>
      <c r="G132" s="189"/>
      <c r="H132" s="189"/>
      <c r="I132" s="189"/>
      <c r="J132" s="189"/>
      <c r="K132" s="189"/>
      <c r="L132" s="189"/>
      <c r="M132" s="235">
        <f t="shared" si="7"/>
        <v>0</v>
      </c>
    </row>
    <row r="133" spans="1:13" x14ac:dyDescent="0.3">
      <c r="A133" s="263"/>
      <c r="B133" s="209">
        <v>113</v>
      </c>
      <c r="C133" s="236" t="str">
        <f t="shared" ref="C133" si="8">IF(M133&lt;&gt;0,VLOOKUP($D$9,Info_County_Code,2,FALSE),"")</f>
        <v/>
      </c>
      <c r="D133" s="364"/>
      <c r="E133" s="364"/>
      <c r="F133" s="365"/>
      <c r="G133" s="189"/>
      <c r="H133" s="189"/>
      <c r="I133" s="189"/>
      <c r="J133" s="189"/>
      <c r="K133" s="189"/>
      <c r="L133" s="189"/>
      <c r="M133" s="235">
        <f t="shared" si="7"/>
        <v>0</v>
      </c>
    </row>
    <row r="134" spans="1:13" hidden="1" x14ac:dyDescent="0.3">
      <c r="A134" s="263"/>
      <c r="B134" s="263"/>
      <c r="C134" s="350"/>
      <c r="D134" s="362"/>
      <c r="E134" s="362"/>
      <c r="F134" s="363"/>
      <c r="G134" s="191"/>
      <c r="I134" s="191"/>
      <c r="M134" s="263"/>
    </row>
    <row r="135" spans="1:13" hidden="1" x14ac:dyDescent="0.3">
      <c r="G135" s="191"/>
      <c r="I135" s="191"/>
    </row>
  </sheetData>
  <sheetProtection algorithmName="SHA-512" hashValue="okG+Ye6pecGv8TgH98Bb3BxZC1xM9EfjHF6mzoaXvaeBx0EcMuJa7eJMzSYyDR1346yJzh4Wc2HA1psAlrdX9Q==" saltValue="P+xK5gq4kr/YPR8JDHLziA==" spinCount="100000" sheet="1" objects="1" scenarios="1" selectLockedCells="1"/>
  <customSheetViews>
    <customSheetView guid="{E7E6A24F-BA49-4C7A-9CED-3AB8F60308A1}" scale="70" showGridLines="0" printArea="1" topLeftCell="A19">
      <selection activeCell="G33" sqref="G33"/>
      <rowBreaks count="4" manualBreakCount="4">
        <brk id="29" min="1" max="11" man="1"/>
        <brk id="58" min="1" max="11" man="1"/>
        <brk id="83" min="1" max="11" man="1"/>
        <brk id="108" min="1" max="11" man="1"/>
      </rowBreaks>
      <pageMargins left="0.25" right="0.25" top="0.75" bottom="0.75" header="0.3" footer="0.3"/>
      <pageSetup paperSize="5" scale="61" orientation="landscape" r:id="rId1"/>
      <headerFooter>
        <oddFooter>&amp;C&amp;"Arial,Regular"&amp;16Page &amp;P of &amp;N</oddFooter>
      </headerFooter>
    </customSheetView>
    <customSheetView guid="{7E50CCF5-45D0-4F7B-8896-9BA64DCA8A01}" scale="70" showGridLines="0">
      <selection activeCell="B7" sqref="B7"/>
      <rowBreaks count="4" manualBreakCount="4">
        <brk id="29" min="1" max="11" man="1"/>
        <brk id="58" min="1" max="11" man="1"/>
        <brk id="83" min="1" max="11" man="1"/>
        <brk id="108" min="1" max="11" man="1"/>
      </rowBreaks>
      <pageMargins left="0.25" right="0.25" top="0.75" bottom="0.75" header="0.3" footer="0.3"/>
      <pageSetup paperSize="5" scale="61" orientation="landscape" r:id="rId2"/>
      <headerFooter>
        <oddFooter>&amp;C&amp;"Arial,Regular"&amp;16Page &amp;P of &amp;N</oddFooter>
      </headerFooter>
    </customSheetView>
    <customSheetView guid="{D8D3A042-2CA2-4641-BB44-BC182917D730}" scale="70" showGridLines="0" printArea="1" topLeftCell="A94">
      <selection activeCell="F26" sqref="F26"/>
      <rowBreaks count="4" manualBreakCount="4">
        <brk id="29" min="1" max="11" man="1"/>
        <brk id="58" min="1" max="11" man="1"/>
        <brk id="83" min="1" max="11" man="1"/>
        <brk id="108" min="1" max="11" man="1"/>
      </rowBreaks>
      <pageMargins left="0.25" right="0.25" top="0.75" bottom="0.75" header="0.3" footer="0.3"/>
      <pageSetup paperSize="5" scale="61" orientation="landscape" r:id="rId3"/>
      <headerFooter>
        <oddFooter>&amp;C&amp;"Arial,Regular"&amp;16Page &amp;P of &amp;N</oddFooter>
      </headerFooter>
    </customSheetView>
  </customSheetViews>
  <dataValidations count="31">
    <dataValidation allowBlank="1" showInputMessage="1" showErrorMessage="1" prompt="Type in county name. " sqref="D9" xr:uid="{00000000-0002-0000-0500-000000000000}"/>
    <dataValidation allowBlank="1" showInputMessage="1" showErrorMessage="1" prompt="Type in date. " sqref="G9" xr:uid="{00000000-0002-0000-0500-000001000000}"/>
    <dataValidation allowBlank="1" showInputMessage="1" showErrorMessage="1" prompt="Type in the Total MHSA Funds (Including Interest) for CSS Annual Planning Costs. " sqref="F15:F18" xr:uid="{00000000-0002-0000-0500-000002000000}"/>
    <dataValidation allowBlank="1" showInputMessage="1" showErrorMessage="1" prompt="Type in the Medi-Cal FFP for CSS Annual Planning Costs. " sqref="G15" xr:uid="{00000000-0002-0000-0500-000003000000}"/>
    <dataValidation allowBlank="1" showInputMessage="1" showErrorMessage="1" prompt="Type in the 1991 Realignment for CSS Annual Planning Costs. " sqref="H15" xr:uid="{00000000-0002-0000-0500-000004000000}"/>
    <dataValidation allowBlank="1" showInputMessage="1" showErrorMessage="1" prompt="Type in the Behavioral Health Subaccount amount for CSS Annual Planning Costs. " sqref="I15" xr:uid="{00000000-0002-0000-0500-000005000000}"/>
    <dataValidation allowBlank="1" showInputMessage="1" showErrorMessage="1" prompt="Type in Other funds for CSS Annual Planning Costs. " sqref="J15" xr:uid="{00000000-0002-0000-0500-000006000000}"/>
    <dataValidation allowBlank="1" showInputMessage="1" showErrorMessage="1" prompt="Type in Other funds for CSS Evaluation Costs. " sqref="J16" xr:uid="{00000000-0002-0000-0500-000007000000}"/>
    <dataValidation allowBlank="1" showInputMessage="1" showErrorMessage="1" prompt="Type in Other funds for CSS Administration Costs." sqref="J17" xr:uid="{00000000-0002-0000-0500-000008000000}"/>
    <dataValidation allowBlank="1" showInputMessage="1" showErrorMessage="1" prompt="Type in the Behavioral Health Subaccount amount for CSS Evaluation Costs." sqref="I16" xr:uid="{00000000-0002-0000-0500-000009000000}"/>
    <dataValidation allowBlank="1" showInputMessage="1" showErrorMessage="1" prompt="Type in the Behavioral Health Subaccount amount for CSS Administration Costs. " sqref="I17" xr:uid="{00000000-0002-0000-0500-00000A000000}"/>
    <dataValidation allowBlank="1" showInputMessage="1" showErrorMessage="1" prompt="Type in the 1991 Realignment for CSS Evaluation Costs." sqref="H16" xr:uid="{00000000-0002-0000-0500-00000B000000}"/>
    <dataValidation allowBlank="1" showInputMessage="1" showErrorMessage="1" prompt="Type in the 1991 Realignment for CSS Administration Costs. " sqref="H17" xr:uid="{00000000-0002-0000-0500-00000C000000}"/>
    <dataValidation allowBlank="1" showInputMessage="1" showErrorMessage="1" prompt="Type in the Medi-Cal FFP for CSS Evaluation Costs. " sqref="G16" xr:uid="{00000000-0002-0000-0500-00000D000000}"/>
    <dataValidation allowBlank="1" showInputMessage="1" showErrorMessage="1" prompt="Type in the Medi-Cal FFP for CSS Administration Costs. " sqref="G17" xr:uid="{00000000-0002-0000-0500-00000E000000}"/>
    <dataValidation allowBlank="1" showInputMessage="1" showErrorMessage="1" prompt="Type in the Total MHSA Funds (Including Interest) for CSS Expenditures Incurred by JPA." sqref="F19" xr:uid="{00000000-0002-0000-0500-000012000000}"/>
    <dataValidation allowBlank="1" showInputMessage="1" showErrorMessage="1" prompt="Type in the Total MHSA Funds (Including Interest) for CSS Funds Transferred to CalHFA." sqref="F20" xr:uid="{00000000-0002-0000-0500-000013000000}"/>
    <dataValidation allowBlank="1" showInputMessage="1" showErrorMessage="1" prompt="Type in the Total MHSA Funds (Including Interest) for CSS Funds Transferred to PEI." sqref="F21" xr:uid="{00000000-0002-0000-0500-000014000000}"/>
    <dataValidation allowBlank="1" showInputMessage="1" showErrorMessage="1" prompt="Type in the Total MHSA Funds (Including Interest) for CSS Funds Transferred to WET." sqref="F22" xr:uid="{00000000-0002-0000-0500-000015000000}"/>
    <dataValidation allowBlank="1" showInputMessage="1" showErrorMessage="1" prompt="Type in the Total MHSA Funds (Including Interest) for CSS Funds Transferred to CFTN." sqref="F23" xr:uid="{00000000-0002-0000-0500-000016000000}"/>
    <dataValidation allowBlank="1" showInputMessage="1" showErrorMessage="1" prompt="Type in the Total MHSA Funds (Including Interest) for CSS Funds Transferred to PR. " sqref="F24" xr:uid="{00000000-0002-0000-0500-000017000000}"/>
    <dataValidation allowBlank="1" showInputMessage="1" showErrorMessage="1" prompt="Type in Program Name. " sqref="D34:D133" xr:uid="{00000000-0002-0000-0500-000018000000}"/>
    <dataValidation allowBlank="1" showInputMessage="1" showErrorMessage="1" prompt="Type in Prior Program Name. " sqref="E34:E133" xr:uid="{00000000-0002-0000-0500-000019000000}"/>
    <dataValidation type="list" allowBlank="1" showInputMessage="1" showErrorMessage="1" prompt="Use drop down menu to select Program Type. " sqref="F34:F133" xr:uid="{00000000-0002-0000-0500-00001A000000}">
      <formula1>CSS_Service_Category</formula1>
    </dataValidation>
    <dataValidation allowBlank="1" showInputMessage="1" showErrorMessage="1" prompt="Type in Total MHSA Funds (Including Interest)" sqref="G34:G133" xr:uid="{00000000-0002-0000-0500-00001B000000}"/>
    <dataValidation allowBlank="1" showInputMessage="1" showErrorMessage="1" prompt="Type in Medi-Cal FFP. " sqref="I34:I133" xr:uid="{00000000-0002-0000-0500-00001C000000}"/>
    <dataValidation allowBlank="1" showInputMessage="1" showErrorMessage="1" prompt="Type in 1991 Realignment. " sqref="J34:J133" xr:uid="{00000000-0002-0000-0500-00001D000000}"/>
    <dataValidation allowBlank="1" showInputMessage="1" showErrorMessage="1" prompt="Type in Behavioral Health Subaccount. " sqref="K34:K133" xr:uid="{00000000-0002-0000-0500-00001E000000}"/>
    <dataValidation allowBlank="1" showInputMessage="1" showErrorMessage="1" prompt="Type in Other items. " sqref="L34:L133" xr:uid="{00000000-0002-0000-0500-00001F000000}"/>
    <dataValidation allowBlank="1" showInputMessage="1" showErrorMessage="1" prompt="Type in MHSA IGT" sqref="H35:H133 H34" xr:uid="{0E448B5E-96EA-44A6-BD79-7FD9402DC24E}"/>
    <dataValidation allowBlank="1" showInputMessage="1" showErrorMessage="1" prompt="Type in MHSA IGT funds. " sqref="H34:H133" xr:uid="{7A96B74C-0735-474D-B90D-38B2FB577A10}"/>
  </dataValidations>
  <pageMargins left="0.25" right="0.25" top="0.75" bottom="0.75" header="0.3" footer="0.3"/>
  <pageSetup paperSize="5" scale="61" orientation="landscape" r:id="rId4"/>
  <headerFooter>
    <oddFooter>&amp;C&amp;"Arial,Regular"&amp;16Page &amp;P of &amp;N</oddFooter>
  </headerFooter>
  <rowBreaks count="4" manualBreakCount="4">
    <brk id="29" min="1" max="11" man="1"/>
    <brk id="58" min="1" max="11" man="1"/>
    <brk id="83" min="1" max="11" man="1"/>
    <brk id="108" min="1" max="11"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99"/>
  <sheetViews>
    <sheetView zoomScaleNormal="100" workbookViewId="0">
      <selection activeCell="F23" sqref="F23"/>
    </sheetView>
  </sheetViews>
  <sheetFormatPr defaultColWidth="0" defaultRowHeight="14.4" zeroHeight="1" x14ac:dyDescent="0.3"/>
  <cols>
    <col min="1" max="1" width="128.109375" style="120" customWidth="1"/>
    <col min="2" max="16384" width="9.109375" style="120" hidden="1"/>
  </cols>
  <sheetData>
    <row r="1" spans="1:1" x14ac:dyDescent="0.3">
      <c r="A1" s="211" t="s">
        <v>596</v>
      </c>
    </row>
    <row r="2" spans="1:1" ht="15.6" x14ac:dyDescent="0.3">
      <c r="A2" s="172" t="s">
        <v>305</v>
      </c>
    </row>
    <row r="3" spans="1:1" ht="15.6" x14ac:dyDescent="0.3">
      <c r="A3" s="172" t="s">
        <v>304</v>
      </c>
    </row>
    <row r="4" spans="1:1" ht="15.6" x14ac:dyDescent="0.3">
      <c r="A4" s="172" t="s">
        <v>415</v>
      </c>
    </row>
    <row r="5" spans="1:1" ht="15.6" x14ac:dyDescent="0.3">
      <c r="A5" s="172" t="s">
        <v>414</v>
      </c>
    </row>
    <row r="6" spans="1:1" ht="15.6" x14ac:dyDescent="0.3">
      <c r="A6" s="172" t="s">
        <v>413</v>
      </c>
    </row>
    <row r="7" spans="1:1" ht="15.6" x14ac:dyDescent="0.3">
      <c r="A7" s="172" t="s">
        <v>576</v>
      </c>
    </row>
    <row r="8" spans="1:1" ht="45.6" x14ac:dyDescent="0.3">
      <c r="A8" s="172" t="s">
        <v>412</v>
      </c>
    </row>
    <row r="9" spans="1:1" ht="15.6" x14ac:dyDescent="0.3">
      <c r="A9" s="172" t="s">
        <v>411</v>
      </c>
    </row>
    <row r="10" spans="1:1" ht="15.6" x14ac:dyDescent="0.3">
      <c r="A10" s="172" t="s">
        <v>410</v>
      </c>
    </row>
    <row r="11" spans="1:1" ht="15.6" x14ac:dyDescent="0.3">
      <c r="A11" s="172" t="s">
        <v>409</v>
      </c>
    </row>
    <row r="12" spans="1:1" ht="15.6" x14ac:dyDescent="0.3">
      <c r="A12" s="172" t="s">
        <v>408</v>
      </c>
    </row>
    <row r="13" spans="1:1" ht="15.6" x14ac:dyDescent="0.3">
      <c r="A13" s="172" t="s">
        <v>591</v>
      </c>
    </row>
    <row r="14" spans="1:1" ht="15.6" x14ac:dyDescent="0.3">
      <c r="A14" s="172" t="s">
        <v>407</v>
      </c>
    </row>
    <row r="15" spans="1:1" ht="15.6" x14ac:dyDescent="0.3">
      <c r="A15" s="172" t="s">
        <v>406</v>
      </c>
    </row>
    <row r="16" spans="1:1" ht="135.6" x14ac:dyDescent="0.3">
      <c r="A16" s="172" t="s">
        <v>405</v>
      </c>
    </row>
    <row r="17" spans="1:1" ht="15.6" x14ac:dyDescent="0.3">
      <c r="A17" s="172" t="s">
        <v>318</v>
      </c>
    </row>
    <row r="18" spans="1:1" ht="15.6" x14ac:dyDescent="0.3">
      <c r="A18" s="172" t="s">
        <v>416</v>
      </c>
    </row>
    <row r="19" spans="1:1" ht="15.6" x14ac:dyDescent="0.3">
      <c r="A19" s="172" t="s">
        <v>417</v>
      </c>
    </row>
    <row r="20" spans="1:1" ht="15.6" x14ac:dyDescent="0.3">
      <c r="A20" s="172" t="s">
        <v>418</v>
      </c>
    </row>
    <row r="21" spans="1:1" ht="15.6" x14ac:dyDescent="0.3">
      <c r="A21" s="172" t="s">
        <v>447</v>
      </c>
    </row>
    <row r="22" spans="1:1" ht="30.6" x14ac:dyDescent="0.3">
      <c r="A22" s="172" t="s">
        <v>404</v>
      </c>
    </row>
    <row r="23" spans="1:1" ht="15.6" x14ac:dyDescent="0.3">
      <c r="A23" s="172" t="s">
        <v>433</v>
      </c>
    </row>
    <row r="24" spans="1:1" ht="15.6" x14ac:dyDescent="0.3">
      <c r="A24" s="172" t="s">
        <v>434</v>
      </c>
    </row>
    <row r="25" spans="1:1" ht="15.6" x14ac:dyDescent="0.3">
      <c r="A25" s="172" t="s">
        <v>435</v>
      </c>
    </row>
    <row r="26" spans="1:1" ht="15.6" x14ac:dyDescent="0.3">
      <c r="A26" s="172" t="s">
        <v>436</v>
      </c>
    </row>
    <row r="27" spans="1:1" ht="15.6" x14ac:dyDescent="0.3">
      <c r="A27" s="172" t="s">
        <v>437</v>
      </c>
    </row>
    <row r="28" spans="1:1" ht="45.6" x14ac:dyDescent="0.3">
      <c r="A28" s="172" t="s">
        <v>419</v>
      </c>
    </row>
    <row r="29" spans="1:1" ht="15.6" x14ac:dyDescent="0.3">
      <c r="A29" s="172" t="s">
        <v>322</v>
      </c>
    </row>
    <row r="30" spans="1:1" ht="15.6" x14ac:dyDescent="0.3">
      <c r="A30" s="172" t="s">
        <v>403</v>
      </c>
    </row>
    <row r="31" spans="1:1" ht="15.6" x14ac:dyDescent="0.3">
      <c r="A31" s="172" t="s">
        <v>402</v>
      </c>
    </row>
    <row r="32" spans="1:1" ht="15.6" x14ac:dyDescent="0.3">
      <c r="A32" s="172" t="s">
        <v>401</v>
      </c>
    </row>
    <row r="33" spans="1:1" ht="15.6" x14ac:dyDescent="0.3">
      <c r="A33" s="172" t="s">
        <v>400</v>
      </c>
    </row>
    <row r="34" spans="1:1" ht="90.6" x14ac:dyDescent="0.3">
      <c r="A34" s="172" t="s">
        <v>399</v>
      </c>
    </row>
    <row r="35" spans="1:1" ht="15.6" x14ac:dyDescent="0.3">
      <c r="A35" s="172" t="s">
        <v>324</v>
      </c>
    </row>
    <row r="36" spans="1:1" ht="15.6" x14ac:dyDescent="0.3">
      <c r="A36" s="172" t="s">
        <v>398</v>
      </c>
    </row>
    <row r="37" spans="1:1" ht="15.6" x14ac:dyDescent="0.3">
      <c r="A37" s="172" t="s">
        <v>397</v>
      </c>
    </row>
    <row r="38" spans="1:1" ht="15.6" x14ac:dyDescent="0.3">
      <c r="A38" s="172" t="s">
        <v>396</v>
      </c>
    </row>
    <row r="39" spans="1:1" ht="15.6" x14ac:dyDescent="0.3">
      <c r="A39" s="172" t="s">
        <v>395</v>
      </c>
    </row>
    <row r="40" spans="1:1" ht="30.6" x14ac:dyDescent="0.3">
      <c r="A40" s="172" t="s">
        <v>394</v>
      </c>
    </row>
    <row r="41" spans="1:1" ht="15.6" x14ac:dyDescent="0.3">
      <c r="A41" s="172" t="s">
        <v>326</v>
      </c>
    </row>
    <row r="42" spans="1:1" ht="15.6" x14ac:dyDescent="0.3">
      <c r="A42" s="172" t="s">
        <v>393</v>
      </c>
    </row>
    <row r="43" spans="1:1" ht="15.6" x14ac:dyDescent="0.3">
      <c r="A43" s="172" t="s">
        <v>392</v>
      </c>
    </row>
    <row r="44" spans="1:1" ht="15.6" x14ac:dyDescent="0.3">
      <c r="A44" s="172" t="s">
        <v>391</v>
      </c>
    </row>
    <row r="45" spans="1:1" ht="15.6" x14ac:dyDescent="0.3">
      <c r="A45" s="172" t="s">
        <v>390</v>
      </c>
    </row>
    <row r="46" spans="1:1" ht="30.6" x14ac:dyDescent="0.3">
      <c r="A46" s="172" t="s">
        <v>389</v>
      </c>
    </row>
    <row r="47" spans="1:1" ht="15.6" x14ac:dyDescent="0.3">
      <c r="A47" s="172" t="s">
        <v>388</v>
      </c>
    </row>
    <row r="48" spans="1:1" ht="15.6" x14ac:dyDescent="0.3">
      <c r="A48" s="172" t="s">
        <v>387</v>
      </c>
    </row>
    <row r="49" spans="1:1" ht="15.6" x14ac:dyDescent="0.3">
      <c r="A49" s="172" t="s">
        <v>386</v>
      </c>
    </row>
    <row r="50" spans="1:1" ht="15.6" x14ac:dyDescent="0.3">
      <c r="A50" s="172" t="s">
        <v>385</v>
      </c>
    </row>
    <row r="51" spans="1:1" ht="15.6" x14ac:dyDescent="0.3">
      <c r="A51" s="172" t="s">
        <v>384</v>
      </c>
    </row>
    <row r="52" spans="1:1" ht="30.6" x14ac:dyDescent="0.3">
      <c r="A52" s="172" t="s">
        <v>383</v>
      </c>
    </row>
    <row r="53" spans="1:1" ht="15.6" x14ac:dyDescent="0.3">
      <c r="A53" s="172" t="s">
        <v>382</v>
      </c>
    </row>
    <row r="54" spans="1:1" ht="15.6" x14ac:dyDescent="0.3">
      <c r="A54" s="172" t="s">
        <v>381</v>
      </c>
    </row>
    <row r="55" spans="1:1" ht="15.6" x14ac:dyDescent="0.3">
      <c r="A55" s="172" t="s">
        <v>380</v>
      </c>
    </row>
    <row r="56" spans="1:1" ht="15.6" x14ac:dyDescent="0.3">
      <c r="A56" s="172" t="s">
        <v>379</v>
      </c>
    </row>
    <row r="57" spans="1:1" ht="15.6" x14ac:dyDescent="0.3">
      <c r="A57" s="172" t="s">
        <v>378</v>
      </c>
    </row>
    <row r="58" spans="1:1" ht="30.6" x14ac:dyDescent="0.3">
      <c r="A58" s="172" t="s">
        <v>377</v>
      </c>
    </row>
    <row r="59" spans="1:1" ht="15.6" x14ac:dyDescent="0.3">
      <c r="A59" s="172" t="s">
        <v>376</v>
      </c>
    </row>
    <row r="60" spans="1:1" ht="15.6" x14ac:dyDescent="0.3">
      <c r="A60" s="172" t="s">
        <v>375</v>
      </c>
    </row>
    <row r="61" spans="1:1" ht="15.6" x14ac:dyDescent="0.3">
      <c r="A61" s="172" t="s">
        <v>374</v>
      </c>
    </row>
    <row r="62" spans="1:1" ht="15.6" x14ac:dyDescent="0.3">
      <c r="A62" s="172" t="s">
        <v>373</v>
      </c>
    </row>
    <row r="63" spans="1:1" ht="15.6" x14ac:dyDescent="0.3">
      <c r="A63" s="172" t="s">
        <v>372</v>
      </c>
    </row>
    <row r="64" spans="1:1" ht="15.6" x14ac:dyDescent="0.3">
      <c r="A64" s="217" t="s">
        <v>758</v>
      </c>
    </row>
    <row r="65" spans="1:1" ht="15.6" x14ac:dyDescent="0.3">
      <c r="A65" s="217" t="s">
        <v>759</v>
      </c>
    </row>
    <row r="66" spans="1:1" ht="15.6" x14ac:dyDescent="0.3">
      <c r="A66" s="217" t="s">
        <v>760</v>
      </c>
    </row>
    <row r="67" spans="1:1" ht="15.6" x14ac:dyDescent="0.3">
      <c r="A67" s="217" t="s">
        <v>761</v>
      </c>
    </row>
    <row r="68" spans="1:1" ht="15.6" x14ac:dyDescent="0.3">
      <c r="A68" s="217" t="s">
        <v>762</v>
      </c>
    </row>
    <row r="69" spans="1:1" ht="15.6" x14ac:dyDescent="0.3">
      <c r="A69" s="172" t="s">
        <v>603</v>
      </c>
    </row>
    <row r="70" spans="1:1" ht="15.6" x14ac:dyDescent="0.3">
      <c r="A70" s="172" t="s">
        <v>604</v>
      </c>
    </row>
    <row r="71" spans="1:1" ht="15.6" x14ac:dyDescent="0.3">
      <c r="A71" s="172" t="s">
        <v>605</v>
      </c>
    </row>
    <row r="72" spans="1:1" ht="15.6" x14ac:dyDescent="0.3">
      <c r="A72" s="172" t="s">
        <v>606</v>
      </c>
    </row>
    <row r="73" spans="1:1" ht="15.6" x14ac:dyDescent="0.3">
      <c r="A73" s="172" t="s">
        <v>607</v>
      </c>
    </row>
    <row r="74" spans="1:1" ht="15.6" x14ac:dyDescent="0.3">
      <c r="A74" s="172" t="s">
        <v>608</v>
      </c>
    </row>
    <row r="75" spans="1:1" ht="15.6" x14ac:dyDescent="0.3">
      <c r="A75" s="172" t="s">
        <v>609</v>
      </c>
    </row>
    <row r="76" spans="1:1" ht="15.6" x14ac:dyDescent="0.3">
      <c r="A76" s="172" t="s">
        <v>610</v>
      </c>
    </row>
    <row r="77" spans="1:1" ht="15.6" x14ac:dyDescent="0.3">
      <c r="A77" s="172" t="s">
        <v>611</v>
      </c>
    </row>
    <row r="78" spans="1:1" ht="15.6" x14ac:dyDescent="0.3">
      <c r="A78" s="172" t="s">
        <v>612</v>
      </c>
    </row>
    <row r="79" spans="1:1" ht="15.6" x14ac:dyDescent="0.3">
      <c r="A79" s="172" t="s">
        <v>613</v>
      </c>
    </row>
    <row r="80" spans="1:1" ht="15.6" x14ac:dyDescent="0.3">
      <c r="A80" s="172" t="s">
        <v>614</v>
      </c>
    </row>
    <row r="81" spans="1:1" ht="15.6" x14ac:dyDescent="0.3">
      <c r="A81" s="172" t="s">
        <v>615</v>
      </c>
    </row>
    <row r="82" spans="1:1" ht="45.6" x14ac:dyDescent="0.3">
      <c r="A82" s="172" t="s">
        <v>616</v>
      </c>
    </row>
    <row r="83" spans="1:1" ht="82.5" customHeight="1" x14ac:dyDescent="0.3">
      <c r="A83" s="172" t="s">
        <v>617</v>
      </c>
    </row>
    <row r="84" spans="1:1" ht="75" x14ac:dyDescent="0.3">
      <c r="A84" s="218" t="s">
        <v>618</v>
      </c>
    </row>
    <row r="85" spans="1:1" ht="45.6" x14ac:dyDescent="0.3">
      <c r="A85" s="172" t="s">
        <v>619</v>
      </c>
    </row>
    <row r="86" spans="1:1" ht="30.6" x14ac:dyDescent="0.3">
      <c r="A86" s="172" t="s">
        <v>620</v>
      </c>
    </row>
    <row r="87" spans="1:1" ht="45.6" x14ac:dyDescent="0.3">
      <c r="A87" s="219" t="s">
        <v>741</v>
      </c>
    </row>
    <row r="88" spans="1:1" ht="30.6" x14ac:dyDescent="0.3">
      <c r="A88" s="220" t="s">
        <v>714</v>
      </c>
    </row>
    <row r="89" spans="1:1" ht="30.6" x14ac:dyDescent="0.3">
      <c r="A89" s="220" t="s">
        <v>715</v>
      </c>
    </row>
    <row r="90" spans="1:1" ht="30.6" x14ac:dyDescent="0.3">
      <c r="A90" s="220" t="s">
        <v>716</v>
      </c>
    </row>
    <row r="91" spans="1:1" ht="30.6" x14ac:dyDescent="0.3">
      <c r="A91" s="172" t="s">
        <v>621</v>
      </c>
    </row>
    <row r="92" spans="1:1" ht="15.6" x14ac:dyDescent="0.3">
      <c r="A92" s="217" t="s">
        <v>757</v>
      </c>
    </row>
    <row r="93" spans="1:1" ht="15.6" hidden="1" x14ac:dyDescent="0.3">
      <c r="A93" s="119"/>
    </row>
    <row r="97" s="120" customFormat="1" hidden="1" x14ac:dyDescent="0.3"/>
    <row r="98" s="120" customFormat="1" hidden="1" x14ac:dyDescent="0.3"/>
    <row r="99" s="120" customFormat="1" hidden="1" x14ac:dyDescent="0.3"/>
  </sheetData>
  <sheetProtection algorithmName="SHA-512" hashValue="I25tvrS6BphZmIeLGR5ZzhSW4xQK6rshw1WRV2cUEggGTN8xcYQXTJ6is0DRjyOiDLxc1X6eXW9fGTicQF06yQ==" saltValue="WSOPrcFTnKVNjsyuBu08rA==" spinCount="100000" sheet="1" objects="1" scenarios="1" selectLockedCells="1"/>
  <pageMargins left="0.25" right="0.25"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pageSetUpPr autoPageBreaks="0"/>
  </sheetPr>
  <dimension ref="A1:AN134"/>
  <sheetViews>
    <sheetView showGridLines="0" zoomScale="70" zoomScaleNormal="70" zoomScaleSheetLayoutView="40" zoomScalePageLayoutView="80" workbookViewId="0"/>
  </sheetViews>
  <sheetFormatPr defaultColWidth="0" defaultRowHeight="15.6" zeroHeight="1" x14ac:dyDescent="0.3"/>
  <cols>
    <col min="1" max="1" width="2.6640625" style="264" customWidth="1"/>
    <col min="2" max="2" width="6.6640625" style="264" customWidth="1"/>
    <col min="3" max="3" width="15.33203125" style="406" customWidth="1"/>
    <col min="4" max="5" width="46.88671875" style="264" customWidth="1"/>
    <col min="6" max="6" width="37" style="264" customWidth="1"/>
    <col min="7" max="7" width="26" style="264" customWidth="1"/>
    <col min="8" max="8" width="20.6640625" style="264" customWidth="1"/>
    <col min="9" max="9" width="20" style="264" customWidth="1"/>
    <col min="10" max="10" width="30.88671875" style="264" customWidth="1"/>
    <col min="11" max="11" width="35.88671875" style="264" customWidth="1"/>
    <col min="12" max="12" width="27.44140625" style="264" customWidth="1"/>
    <col min="13" max="13" width="23.109375" style="264" customWidth="1"/>
    <col min="14" max="15" width="26.44140625" style="264" customWidth="1"/>
    <col min="16" max="16" width="22.33203125" style="264" customWidth="1"/>
    <col min="17" max="17" width="18.88671875" style="264" customWidth="1"/>
    <col min="18" max="18" width="26.5546875" style="367" customWidth="1"/>
    <col min="19" max="24" width="15" style="316" hidden="1" customWidth="1"/>
    <col min="25" max="40" width="9.109375" style="316" hidden="1" customWidth="1"/>
    <col min="41" max="16384" width="9.109375" style="264" hidden="1"/>
  </cols>
  <sheetData>
    <row r="1" spans="1:40" s="205" customFormat="1" ht="15" x14ac:dyDescent="0.25">
      <c r="A1" s="262" t="s">
        <v>745</v>
      </c>
      <c r="B1" s="263" t="s">
        <v>270</v>
      </c>
      <c r="C1" s="19"/>
      <c r="D1" s="19"/>
      <c r="E1" s="121"/>
      <c r="F1" s="17"/>
      <c r="G1" s="17"/>
      <c r="H1" s="19"/>
      <c r="I1" s="121"/>
      <c r="J1" s="17"/>
      <c r="K1" s="19"/>
      <c r="L1" s="121"/>
      <c r="M1" s="17"/>
      <c r="N1" s="17"/>
      <c r="O1" s="17"/>
      <c r="P1" s="19"/>
      <c r="Q1" s="280" t="s">
        <v>268</v>
      </c>
      <c r="R1" s="17"/>
      <c r="S1" s="17"/>
      <c r="T1" s="17"/>
      <c r="U1" s="17"/>
      <c r="V1" s="17"/>
      <c r="W1" s="17"/>
      <c r="X1" s="17"/>
      <c r="Y1" s="17"/>
      <c r="Z1" s="17"/>
      <c r="AA1" s="17"/>
      <c r="AB1" s="17"/>
      <c r="AC1" s="17"/>
      <c r="AD1" s="17"/>
      <c r="AE1" s="17"/>
      <c r="AF1" s="17"/>
      <c r="AG1" s="17"/>
      <c r="AH1" s="17"/>
      <c r="AI1" s="17"/>
      <c r="AJ1" s="17"/>
      <c r="AK1" s="17"/>
      <c r="AL1" s="17"/>
      <c r="AM1" s="17"/>
      <c r="AN1" s="17"/>
    </row>
    <row r="2" spans="1:40" s="205" customFormat="1" thickBot="1" x14ac:dyDescent="0.3">
      <c r="A2" s="17"/>
      <c r="B2" s="266" t="s">
        <v>269</v>
      </c>
      <c r="C2" s="127"/>
      <c r="D2" s="127"/>
      <c r="E2" s="128"/>
      <c r="F2" s="127"/>
      <c r="G2" s="127"/>
      <c r="H2" s="127"/>
      <c r="I2" s="128"/>
      <c r="J2" s="127"/>
      <c r="K2" s="127"/>
      <c r="L2" s="128"/>
      <c r="M2" s="127"/>
      <c r="N2" s="127"/>
      <c r="O2" s="127"/>
      <c r="P2" s="127"/>
      <c r="Q2" s="128"/>
      <c r="R2" s="17"/>
      <c r="S2" s="17"/>
      <c r="T2" s="17"/>
      <c r="U2" s="17"/>
      <c r="V2" s="17"/>
      <c r="W2" s="17"/>
      <c r="X2" s="17"/>
      <c r="Y2" s="17"/>
      <c r="Z2" s="17"/>
      <c r="AA2" s="17"/>
      <c r="AB2" s="17"/>
      <c r="AC2" s="17"/>
      <c r="AD2" s="17"/>
      <c r="AE2" s="17"/>
      <c r="AF2" s="17"/>
      <c r="AG2" s="17"/>
      <c r="AH2" s="17"/>
      <c r="AI2" s="17"/>
      <c r="AJ2" s="17"/>
      <c r="AK2" s="17"/>
      <c r="AL2" s="17"/>
      <c r="AM2" s="17"/>
      <c r="AN2" s="17"/>
    </row>
    <row r="3" spans="1:40" x14ac:dyDescent="0.3">
      <c r="A3" s="19"/>
      <c r="B3" s="124"/>
      <c r="C3" s="8"/>
      <c r="D3" s="8"/>
      <c r="E3" s="19"/>
      <c r="F3" s="19"/>
      <c r="G3" s="19"/>
      <c r="H3" s="19"/>
      <c r="I3" s="19"/>
      <c r="J3" s="19"/>
      <c r="K3" s="19"/>
      <c r="L3" s="19"/>
      <c r="M3" s="19"/>
      <c r="N3" s="19"/>
      <c r="O3" s="19"/>
      <c r="P3" s="19"/>
      <c r="Q3" s="19"/>
      <c r="R3" s="125"/>
      <c r="S3" s="124"/>
      <c r="T3" s="124"/>
      <c r="U3" s="124"/>
      <c r="V3" s="124"/>
      <c r="W3" s="124"/>
      <c r="X3" s="124"/>
      <c r="Y3" s="124"/>
      <c r="Z3" s="124"/>
      <c r="AA3" s="124"/>
      <c r="AB3" s="124"/>
      <c r="AC3" s="124"/>
      <c r="AD3" s="124"/>
      <c r="AE3" s="124"/>
      <c r="AF3" s="124"/>
      <c r="AG3" s="124"/>
      <c r="AH3" s="124"/>
      <c r="AI3" s="124"/>
      <c r="AJ3" s="124"/>
      <c r="AK3" s="124"/>
      <c r="AL3" s="124"/>
      <c r="AM3" s="124"/>
      <c r="AN3" s="124"/>
    </row>
    <row r="4" spans="1:40" s="269" customFormat="1" ht="15" x14ac:dyDescent="0.25">
      <c r="A4" s="99"/>
      <c r="B4" s="270" t="s">
        <v>783</v>
      </c>
      <c r="C4" s="99"/>
      <c r="D4" s="99"/>
      <c r="E4" s="99"/>
      <c r="F4" s="99"/>
      <c r="G4" s="99"/>
      <c r="H4" s="99"/>
      <c r="I4" s="99"/>
      <c r="J4" s="99"/>
      <c r="K4" s="99"/>
      <c r="L4" s="99"/>
      <c r="M4" s="99"/>
      <c r="N4" s="99"/>
      <c r="O4" s="99"/>
      <c r="P4" s="99"/>
      <c r="Q4" s="99"/>
      <c r="R4" s="126"/>
      <c r="S4" s="99"/>
      <c r="T4" s="99"/>
      <c r="U4" s="99"/>
      <c r="V4" s="99"/>
      <c r="W4" s="99"/>
      <c r="X4" s="99"/>
      <c r="Y4" s="99"/>
      <c r="Z4" s="99"/>
      <c r="AA4" s="99"/>
      <c r="AB4" s="99"/>
      <c r="AC4" s="99"/>
      <c r="AD4" s="99"/>
      <c r="AE4" s="99"/>
      <c r="AF4" s="99"/>
      <c r="AG4" s="99"/>
      <c r="AH4" s="99"/>
      <c r="AI4" s="99"/>
      <c r="AJ4" s="99"/>
      <c r="AK4" s="99"/>
      <c r="AL4" s="99"/>
      <c r="AM4" s="99"/>
      <c r="AN4" s="99"/>
    </row>
    <row r="5" spans="1:40" ht="17.399999999999999" x14ac:dyDescent="0.3">
      <c r="A5" s="19"/>
      <c r="B5" s="368" t="str">
        <f>'1. Information'!B5</f>
        <v>Annual Mental Health Services Act (MHSA) Revenue and Expenditure Report</v>
      </c>
      <c r="C5" s="9"/>
      <c r="D5" s="9"/>
      <c r="E5" s="9"/>
      <c r="F5" s="9"/>
      <c r="G5" s="9"/>
      <c r="H5" s="9"/>
      <c r="I5" s="9"/>
      <c r="J5" s="9"/>
      <c r="K5" s="9"/>
      <c r="L5" s="10"/>
      <c r="M5" s="1"/>
      <c r="N5" s="1"/>
      <c r="O5" s="1"/>
      <c r="P5" s="1"/>
      <c r="Q5" s="1"/>
      <c r="R5" s="125"/>
      <c r="S5" s="124"/>
      <c r="T5" s="124"/>
      <c r="U5" s="124"/>
      <c r="V5" s="124"/>
      <c r="W5" s="124"/>
      <c r="X5" s="124"/>
      <c r="Y5" s="124"/>
      <c r="Z5" s="124"/>
      <c r="AA5" s="124"/>
      <c r="AB5" s="124"/>
      <c r="AC5" s="124"/>
      <c r="AD5" s="124"/>
      <c r="AE5" s="124"/>
      <c r="AF5" s="124"/>
      <c r="AG5" s="124"/>
      <c r="AH5" s="124"/>
      <c r="AI5" s="124"/>
      <c r="AJ5" s="124"/>
      <c r="AK5" s="124"/>
      <c r="AL5" s="124"/>
      <c r="AM5" s="124"/>
      <c r="AN5" s="124"/>
    </row>
    <row r="6" spans="1:40" ht="17.399999999999999" x14ac:dyDescent="0.3">
      <c r="A6" s="19"/>
      <c r="B6" s="368" t="str">
        <f>'1. Information'!B6</f>
        <v>Fiscal Year: 2023-24</v>
      </c>
      <c r="C6" s="9"/>
      <c r="D6" s="9"/>
      <c r="E6" s="9"/>
      <c r="F6" s="9"/>
      <c r="G6" s="9"/>
      <c r="H6" s="9"/>
      <c r="I6" s="9"/>
      <c r="J6" s="9"/>
      <c r="K6" s="9"/>
      <c r="L6" s="10"/>
      <c r="M6" s="1"/>
      <c r="N6" s="1"/>
      <c r="O6" s="1"/>
      <c r="P6" s="1"/>
      <c r="Q6" s="1"/>
      <c r="R6" s="125"/>
      <c r="S6" s="124"/>
      <c r="T6" s="124"/>
      <c r="U6" s="124"/>
      <c r="V6" s="124"/>
      <c r="W6" s="124"/>
      <c r="X6" s="124"/>
      <c r="Y6" s="124"/>
      <c r="Z6" s="124"/>
      <c r="AA6" s="124"/>
      <c r="AB6" s="124"/>
      <c r="AC6" s="124"/>
      <c r="AD6" s="124"/>
      <c r="AE6" s="124"/>
      <c r="AF6" s="124"/>
      <c r="AG6" s="124"/>
      <c r="AH6" s="124"/>
      <c r="AI6" s="124"/>
      <c r="AJ6" s="124"/>
      <c r="AK6" s="124"/>
      <c r="AL6" s="124"/>
      <c r="AM6" s="124"/>
      <c r="AN6" s="124"/>
    </row>
    <row r="7" spans="1:40" ht="17.399999999999999" x14ac:dyDescent="0.3">
      <c r="A7" s="19"/>
      <c r="B7" s="368" t="s">
        <v>280</v>
      </c>
      <c r="C7" s="9"/>
      <c r="D7" s="9"/>
      <c r="E7" s="9"/>
      <c r="F7" s="9"/>
      <c r="G7" s="9"/>
      <c r="H7" s="9"/>
      <c r="I7" s="9"/>
      <c r="J7" s="9"/>
      <c r="K7" s="9"/>
      <c r="L7" s="10"/>
      <c r="M7" s="1"/>
      <c r="N7" s="1"/>
      <c r="O7" s="1"/>
      <c r="P7" s="1"/>
      <c r="Q7" s="1"/>
      <c r="R7" s="125"/>
      <c r="S7" s="124"/>
      <c r="T7" s="124"/>
      <c r="U7" s="124"/>
      <c r="V7" s="124"/>
      <c r="W7" s="124"/>
      <c r="X7" s="124"/>
      <c r="Y7" s="124"/>
      <c r="Z7" s="124"/>
      <c r="AA7" s="124"/>
      <c r="AB7" s="124"/>
      <c r="AC7" s="124"/>
      <c r="AD7" s="124"/>
      <c r="AE7" s="124"/>
      <c r="AF7" s="124"/>
      <c r="AG7" s="124"/>
      <c r="AH7" s="124"/>
      <c r="AI7" s="124"/>
      <c r="AJ7" s="124"/>
      <c r="AK7" s="124"/>
      <c r="AL7" s="124"/>
      <c r="AM7" s="124"/>
      <c r="AN7" s="124"/>
    </row>
    <row r="8" spans="1:40" x14ac:dyDescent="0.3">
      <c r="A8" s="19"/>
      <c r="B8" s="10"/>
      <c r="C8" s="10"/>
      <c r="D8" s="10"/>
      <c r="E8" s="10"/>
      <c r="F8" s="10"/>
      <c r="G8" s="10"/>
      <c r="H8" s="10"/>
      <c r="I8" s="10"/>
      <c r="J8" s="10"/>
      <c r="K8" s="10"/>
      <c r="L8" s="10"/>
      <c r="M8" s="1"/>
      <c r="N8" s="1"/>
      <c r="O8" s="1"/>
      <c r="P8" s="1"/>
      <c r="Q8" s="1"/>
      <c r="R8" s="125"/>
      <c r="S8" s="124"/>
      <c r="T8" s="124"/>
      <c r="U8" s="124"/>
      <c r="V8" s="124"/>
      <c r="W8" s="124"/>
      <c r="X8" s="124"/>
      <c r="Y8" s="124"/>
      <c r="Z8" s="124"/>
      <c r="AA8" s="124"/>
      <c r="AB8" s="124"/>
      <c r="AC8" s="124"/>
      <c r="AD8" s="124"/>
      <c r="AE8" s="124"/>
      <c r="AF8" s="124"/>
      <c r="AG8" s="124"/>
      <c r="AH8" s="124"/>
      <c r="AI8" s="124"/>
      <c r="AJ8" s="124"/>
      <c r="AK8" s="124"/>
      <c r="AL8" s="124"/>
      <c r="AM8" s="124"/>
      <c r="AN8" s="124"/>
    </row>
    <row r="9" spans="1:40" ht="15.75" customHeight="1" x14ac:dyDescent="0.3">
      <c r="A9" s="19"/>
      <c r="B9" s="338" t="s">
        <v>0</v>
      </c>
      <c r="C9" s="138"/>
      <c r="D9" s="206" t="str">
        <f>IF(ISBLANK('1. Information'!D11),"",'1. Information'!D11)</f>
        <v>Marin</v>
      </c>
      <c r="E9" s="19"/>
      <c r="F9" s="319" t="s">
        <v>1</v>
      </c>
      <c r="G9" s="210">
        <f>IF(ISBLANK('1. Information'!D9),"",'1. Information'!D9)</f>
        <v>45684</v>
      </c>
      <c r="H9" s="19"/>
      <c r="I9" s="19"/>
      <c r="J9" s="20"/>
      <c r="K9" s="20"/>
      <c r="L9" s="20"/>
      <c r="M9" s="20"/>
      <c r="N9" s="20"/>
      <c r="O9" s="20"/>
      <c r="P9" s="20"/>
      <c r="Q9" s="20"/>
      <c r="R9" s="125"/>
      <c r="S9" s="124"/>
      <c r="T9" s="124"/>
      <c r="U9" s="124"/>
      <c r="V9" s="124"/>
      <c r="W9" s="124"/>
      <c r="X9" s="124"/>
      <c r="Y9" s="124"/>
      <c r="Z9" s="124"/>
      <c r="AA9" s="124"/>
      <c r="AB9" s="124"/>
      <c r="AC9" s="124"/>
      <c r="AD9" s="124"/>
      <c r="AE9" s="124"/>
      <c r="AF9" s="124"/>
      <c r="AG9" s="124"/>
      <c r="AH9" s="124"/>
      <c r="AI9" s="124"/>
      <c r="AJ9" s="124"/>
      <c r="AK9" s="124"/>
      <c r="AL9" s="124"/>
      <c r="AM9" s="124"/>
      <c r="AN9" s="124"/>
    </row>
    <row r="10" spans="1:40" x14ac:dyDescent="0.3">
      <c r="A10" s="19"/>
      <c r="B10" s="19"/>
      <c r="C10" s="3"/>
      <c r="D10" s="3"/>
      <c r="E10" s="3"/>
      <c r="F10" s="3"/>
      <c r="G10" s="2"/>
      <c r="H10" s="4"/>
      <c r="I10" s="3"/>
      <c r="J10" s="21"/>
      <c r="K10" s="20"/>
      <c r="L10" s="124"/>
      <c r="M10" s="124"/>
      <c r="N10" s="124"/>
      <c r="O10" s="124"/>
      <c r="P10" s="124"/>
      <c r="Q10" s="124"/>
      <c r="R10" s="125"/>
      <c r="S10" s="124"/>
      <c r="T10" s="124"/>
      <c r="U10" s="124"/>
      <c r="V10" s="124"/>
      <c r="W10" s="124"/>
      <c r="X10" s="124"/>
      <c r="Y10" s="124"/>
      <c r="Z10" s="124"/>
      <c r="AA10" s="124"/>
      <c r="AB10" s="124"/>
      <c r="AC10" s="124"/>
      <c r="AD10" s="124"/>
      <c r="AE10" s="124"/>
      <c r="AF10" s="124"/>
      <c r="AG10" s="124"/>
      <c r="AH10" s="124"/>
      <c r="AI10" s="124"/>
      <c r="AJ10" s="124"/>
      <c r="AK10" s="124"/>
      <c r="AL10" s="124"/>
      <c r="AM10" s="124"/>
      <c r="AN10" s="124"/>
    </row>
    <row r="11" spans="1:40" ht="18" thickBot="1" x14ac:dyDescent="0.35">
      <c r="A11" s="19"/>
      <c r="B11" s="324" t="s">
        <v>211</v>
      </c>
      <c r="C11" s="141"/>
      <c r="D11" s="134"/>
      <c r="E11" s="134"/>
      <c r="F11" s="134"/>
      <c r="G11" s="135"/>
      <c r="H11" s="142"/>
      <c r="I11" s="134"/>
      <c r="J11" s="143"/>
      <c r="K11" s="144"/>
      <c r="L11" s="124"/>
      <c r="M11" s="124"/>
      <c r="N11" s="124"/>
      <c r="O11" s="124"/>
      <c r="P11" s="124"/>
      <c r="Q11" s="124"/>
      <c r="R11" s="125"/>
      <c r="S11" s="124"/>
      <c r="T11" s="124"/>
      <c r="U11" s="124"/>
      <c r="V11" s="124"/>
      <c r="W11" s="124"/>
      <c r="X11" s="124"/>
      <c r="Y11" s="124"/>
      <c r="Z11" s="124"/>
      <c r="AA11" s="124"/>
      <c r="AB11" s="124"/>
      <c r="AC11" s="124"/>
      <c r="AD11" s="124"/>
      <c r="AE11" s="124"/>
      <c r="AF11" s="124"/>
      <c r="AG11" s="124"/>
      <c r="AH11" s="124"/>
      <c r="AI11" s="124"/>
      <c r="AJ11" s="124"/>
      <c r="AK11" s="124"/>
      <c r="AL11" s="124"/>
      <c r="AM11" s="124"/>
      <c r="AN11" s="124"/>
    </row>
    <row r="12" spans="1:40" ht="16.2" thickTop="1" x14ac:dyDescent="0.3">
      <c r="A12" s="19"/>
      <c r="B12" s="19"/>
      <c r="C12" s="2"/>
      <c r="D12" s="3"/>
      <c r="E12" s="3"/>
      <c r="F12" s="3"/>
      <c r="G12" s="2"/>
      <c r="H12" s="4"/>
      <c r="I12" s="3"/>
      <c r="J12" s="21"/>
      <c r="K12" s="20"/>
      <c r="L12" s="20"/>
      <c r="M12" s="20"/>
      <c r="N12" s="20"/>
      <c r="O12" s="124"/>
      <c r="P12" s="124"/>
      <c r="Q12" s="124"/>
      <c r="R12" s="125"/>
      <c r="S12" s="124"/>
      <c r="T12" s="124"/>
      <c r="U12" s="124"/>
      <c r="V12" s="124"/>
      <c r="W12" s="124"/>
      <c r="X12" s="124"/>
      <c r="Y12" s="124"/>
      <c r="Z12" s="124"/>
      <c r="AA12" s="124"/>
      <c r="AB12" s="124"/>
      <c r="AC12" s="124"/>
      <c r="AD12" s="124"/>
      <c r="AE12" s="124"/>
      <c r="AF12" s="124"/>
      <c r="AG12" s="124"/>
      <c r="AH12" s="124"/>
      <c r="AI12" s="124"/>
      <c r="AJ12" s="124"/>
      <c r="AK12" s="124"/>
      <c r="AL12" s="124"/>
      <c r="AM12" s="124"/>
      <c r="AN12" s="124"/>
    </row>
    <row r="13" spans="1:40" x14ac:dyDescent="0.3">
      <c r="A13" s="19"/>
      <c r="B13" s="19"/>
      <c r="C13" s="2"/>
      <c r="D13" s="3"/>
      <c r="E13" s="3"/>
      <c r="F13" s="374" t="s">
        <v>22</v>
      </c>
      <c r="G13" s="375" t="s">
        <v>23</v>
      </c>
      <c r="H13" s="330" t="s">
        <v>25</v>
      </c>
      <c r="I13" s="330" t="s">
        <v>199</v>
      </c>
      <c r="J13" s="376" t="s">
        <v>200</v>
      </c>
      <c r="K13" s="330" t="s">
        <v>201</v>
      </c>
      <c r="L13" s="124"/>
      <c r="M13" s="124"/>
      <c r="N13" s="124"/>
      <c r="O13" s="124"/>
      <c r="P13" s="124"/>
      <c r="Q13" s="124"/>
      <c r="R13" s="125"/>
      <c r="S13" s="124"/>
      <c r="T13" s="124"/>
      <c r="U13" s="124"/>
      <c r="V13" s="124"/>
      <c r="W13" s="124"/>
      <c r="X13" s="124"/>
      <c r="Y13" s="124"/>
      <c r="Z13" s="124"/>
      <c r="AA13" s="124"/>
      <c r="AB13" s="124"/>
      <c r="AC13" s="124"/>
      <c r="AD13" s="124"/>
      <c r="AE13" s="124"/>
      <c r="AF13" s="124"/>
      <c r="AG13" s="124"/>
      <c r="AH13" s="124"/>
      <c r="AI13" s="124"/>
      <c r="AJ13" s="124"/>
      <c r="AK13" s="124"/>
      <c r="AL13" s="19"/>
      <c r="AM13" s="19"/>
      <c r="AN13" s="19"/>
    </row>
    <row r="14" spans="1:40" ht="47.25" customHeight="1" x14ac:dyDescent="0.3">
      <c r="A14" s="19"/>
      <c r="B14" s="19"/>
      <c r="C14" s="145"/>
      <c r="D14" s="145"/>
      <c r="E14" s="145"/>
      <c r="F14" s="377" t="s">
        <v>276</v>
      </c>
      <c r="G14" s="378" t="s">
        <v>4</v>
      </c>
      <c r="H14" s="378" t="s">
        <v>5</v>
      </c>
      <c r="I14" s="378" t="s">
        <v>24</v>
      </c>
      <c r="J14" s="378" t="s">
        <v>12</v>
      </c>
      <c r="K14" s="379" t="s">
        <v>216</v>
      </c>
      <c r="L14" s="124"/>
      <c r="M14" s="124"/>
      <c r="N14" s="124"/>
      <c r="O14" s="124"/>
      <c r="P14" s="124"/>
      <c r="Q14" s="124"/>
      <c r="R14" s="125"/>
      <c r="S14" s="124"/>
      <c r="T14" s="124"/>
      <c r="U14" s="124"/>
      <c r="V14" s="124"/>
      <c r="W14" s="124"/>
      <c r="X14" s="124"/>
      <c r="Y14" s="124"/>
      <c r="Z14" s="124"/>
      <c r="AA14" s="124"/>
      <c r="AB14" s="124"/>
      <c r="AC14" s="124"/>
      <c r="AD14" s="124"/>
      <c r="AE14" s="124"/>
      <c r="AF14" s="124"/>
      <c r="AG14" s="124"/>
      <c r="AH14" s="124"/>
      <c r="AI14" s="124"/>
      <c r="AJ14" s="124"/>
      <c r="AK14" s="124"/>
      <c r="AL14" s="19"/>
      <c r="AM14" s="19"/>
      <c r="AN14" s="19"/>
    </row>
    <row r="15" spans="1:40" s="369" customFormat="1" x14ac:dyDescent="0.3">
      <c r="A15" s="20"/>
      <c r="B15" s="291">
        <v>1</v>
      </c>
      <c r="C15" s="318" t="s">
        <v>2</v>
      </c>
      <c r="D15" s="137"/>
      <c r="E15" s="139"/>
      <c r="F15" s="185">
        <v>47704.79</v>
      </c>
      <c r="G15" s="189"/>
      <c r="H15" s="189"/>
      <c r="I15" s="189"/>
      <c r="J15" s="189"/>
      <c r="K15" s="337">
        <f>SUM(F15:J15)</f>
        <v>47704.79</v>
      </c>
      <c r="L15" s="124"/>
      <c r="M15" s="124"/>
      <c r="N15" s="124"/>
      <c r="O15" s="124"/>
      <c r="P15" s="124"/>
      <c r="Q15" s="124"/>
      <c r="R15" s="125"/>
      <c r="S15" s="124"/>
      <c r="T15" s="124"/>
      <c r="U15" s="124"/>
      <c r="V15" s="124"/>
      <c r="W15" s="124"/>
      <c r="X15" s="124"/>
      <c r="Y15" s="124"/>
      <c r="Z15" s="124"/>
      <c r="AA15" s="124"/>
      <c r="AB15" s="124"/>
      <c r="AC15" s="124"/>
      <c r="AD15" s="124"/>
      <c r="AE15" s="124"/>
      <c r="AF15" s="124"/>
      <c r="AG15" s="124"/>
      <c r="AH15" s="124"/>
      <c r="AI15" s="124"/>
      <c r="AJ15" s="124"/>
      <c r="AK15" s="124"/>
      <c r="AL15" s="20"/>
      <c r="AM15" s="20"/>
      <c r="AN15" s="20"/>
    </row>
    <row r="16" spans="1:40" s="369" customFormat="1" ht="15" customHeight="1" x14ac:dyDescent="0.3">
      <c r="A16" s="20"/>
      <c r="B16" s="291">
        <v>2</v>
      </c>
      <c r="C16" s="318" t="s">
        <v>116</v>
      </c>
      <c r="D16" s="137"/>
      <c r="E16" s="139"/>
      <c r="F16" s="185">
        <v>0</v>
      </c>
      <c r="G16" s="189"/>
      <c r="H16" s="189"/>
      <c r="I16" s="189"/>
      <c r="J16" s="189"/>
      <c r="K16" s="337">
        <f t="shared" ref="K16:K22" si="0">SUM(F16:J16)</f>
        <v>0</v>
      </c>
      <c r="L16" s="124"/>
      <c r="M16" s="124"/>
      <c r="N16" s="124"/>
      <c r="O16" s="124"/>
      <c r="P16" s="124"/>
      <c r="Q16" s="124"/>
      <c r="R16" s="125"/>
      <c r="S16" s="124"/>
      <c r="T16" s="124"/>
      <c r="U16" s="124"/>
      <c r="V16" s="124"/>
      <c r="W16" s="124"/>
      <c r="X16" s="124"/>
      <c r="Y16" s="124"/>
      <c r="Z16" s="124"/>
      <c r="AA16" s="124"/>
      <c r="AB16" s="124"/>
      <c r="AC16" s="124"/>
      <c r="AD16" s="124"/>
      <c r="AE16" s="124"/>
      <c r="AF16" s="124"/>
      <c r="AG16" s="124"/>
      <c r="AH16" s="124"/>
      <c r="AI16" s="124"/>
      <c r="AJ16" s="124"/>
      <c r="AK16" s="124"/>
      <c r="AL16" s="20"/>
      <c r="AM16" s="20"/>
      <c r="AN16" s="20"/>
    </row>
    <row r="17" spans="1:40" s="369" customFormat="1" ht="15" customHeight="1" x14ac:dyDescent="0.3">
      <c r="A17" s="20"/>
      <c r="B17" s="291">
        <v>3</v>
      </c>
      <c r="C17" s="318" t="s">
        <v>128</v>
      </c>
      <c r="D17" s="137"/>
      <c r="E17" s="139"/>
      <c r="F17" s="185">
        <f>219956.6-J17+342752.13</f>
        <v>510220.59</v>
      </c>
      <c r="G17" s="189"/>
      <c r="H17" s="189"/>
      <c r="I17" s="189"/>
      <c r="J17" s="185">
        <v>52488.14</v>
      </c>
      <c r="K17" s="337">
        <f t="shared" si="0"/>
        <v>562708.73</v>
      </c>
      <c r="L17" s="124"/>
      <c r="M17" s="124"/>
      <c r="N17" s="124"/>
      <c r="O17" s="124"/>
      <c r="P17" s="124"/>
      <c r="Q17" s="124"/>
      <c r="R17" s="125"/>
      <c r="S17" s="124"/>
      <c r="T17" s="124"/>
      <c r="U17" s="124"/>
      <c r="V17" s="124"/>
      <c r="W17" s="124"/>
      <c r="X17" s="124"/>
      <c r="Y17" s="124"/>
      <c r="Z17" s="124"/>
      <c r="AA17" s="124"/>
      <c r="AB17" s="124"/>
      <c r="AC17" s="124"/>
      <c r="AD17" s="124"/>
      <c r="AE17" s="124"/>
      <c r="AF17" s="124"/>
      <c r="AG17" s="124"/>
      <c r="AH17" s="124"/>
      <c r="AI17" s="124"/>
      <c r="AJ17" s="124"/>
      <c r="AK17" s="124"/>
      <c r="AL17" s="20"/>
      <c r="AM17" s="20"/>
      <c r="AN17" s="20"/>
    </row>
    <row r="18" spans="1:40" s="369" customFormat="1" ht="15" customHeight="1" x14ac:dyDescent="0.3">
      <c r="A18" s="20"/>
      <c r="B18" s="291">
        <v>4</v>
      </c>
      <c r="C18" s="318" t="s">
        <v>281</v>
      </c>
      <c r="D18" s="137"/>
      <c r="E18" s="139"/>
      <c r="F18" s="189"/>
      <c r="G18" s="237"/>
      <c r="H18" s="234"/>
      <c r="I18" s="234"/>
      <c r="J18" s="234"/>
      <c r="K18" s="337">
        <f>F18</f>
        <v>0</v>
      </c>
      <c r="L18" s="124"/>
      <c r="M18" s="124"/>
      <c r="N18" s="124"/>
      <c r="O18" s="124"/>
      <c r="P18" s="124"/>
      <c r="Q18" s="124"/>
      <c r="R18" s="125"/>
      <c r="S18" s="124"/>
      <c r="T18" s="124"/>
      <c r="U18" s="124"/>
      <c r="V18" s="124"/>
      <c r="W18" s="124"/>
      <c r="X18" s="124"/>
      <c r="Y18" s="124"/>
      <c r="Z18" s="124"/>
      <c r="AA18" s="124"/>
      <c r="AB18" s="124"/>
      <c r="AC18" s="124"/>
      <c r="AD18" s="124"/>
      <c r="AE18" s="124"/>
      <c r="AF18" s="124"/>
      <c r="AG18" s="124"/>
      <c r="AH18" s="124"/>
      <c r="AI18" s="124"/>
      <c r="AJ18" s="124"/>
      <c r="AK18" s="124"/>
      <c r="AL18" s="20"/>
      <c r="AM18" s="20"/>
      <c r="AN18" s="20"/>
    </row>
    <row r="19" spans="1:40" s="369" customFormat="1" ht="15" customHeight="1" x14ac:dyDescent="0.3">
      <c r="A19" s="20"/>
      <c r="B19" s="291">
        <v>5</v>
      </c>
      <c r="C19" s="318" t="s">
        <v>182</v>
      </c>
      <c r="D19" s="137"/>
      <c r="E19" s="139"/>
      <c r="F19" s="185">
        <v>-120788</v>
      </c>
      <c r="G19" s="237"/>
      <c r="H19" s="234"/>
      <c r="I19" s="234"/>
      <c r="J19" s="234"/>
      <c r="K19" s="337">
        <f t="shared" ref="K19:K20" si="1">F19</f>
        <v>-120788</v>
      </c>
      <c r="L19" s="124"/>
      <c r="M19" s="124"/>
      <c r="N19" s="124"/>
      <c r="O19" s="124"/>
      <c r="P19" s="124"/>
      <c r="Q19" s="124"/>
      <c r="R19" s="125"/>
      <c r="S19" s="124"/>
      <c r="T19" s="124"/>
      <c r="U19" s="124"/>
      <c r="V19" s="124"/>
      <c r="W19" s="124"/>
      <c r="X19" s="124"/>
      <c r="Y19" s="124"/>
      <c r="Z19" s="124"/>
      <c r="AA19" s="124"/>
      <c r="AB19" s="124"/>
      <c r="AC19" s="124"/>
      <c r="AD19" s="124"/>
      <c r="AE19" s="124"/>
      <c r="AF19" s="124"/>
      <c r="AG19" s="124"/>
      <c r="AH19" s="124"/>
      <c r="AI19" s="124"/>
      <c r="AJ19" s="124"/>
      <c r="AK19" s="124"/>
      <c r="AL19" s="20"/>
      <c r="AM19" s="20"/>
      <c r="AN19" s="20"/>
    </row>
    <row r="20" spans="1:40" s="369" customFormat="1" ht="15" customHeight="1" x14ac:dyDescent="0.3">
      <c r="A20" s="20"/>
      <c r="B20" s="291">
        <v>6</v>
      </c>
      <c r="C20" s="318" t="s">
        <v>282</v>
      </c>
      <c r="D20" s="137"/>
      <c r="E20" s="139"/>
      <c r="F20" s="189"/>
      <c r="G20" s="237"/>
      <c r="H20" s="234"/>
      <c r="I20" s="234"/>
      <c r="J20" s="234"/>
      <c r="K20" s="337">
        <f t="shared" si="1"/>
        <v>0</v>
      </c>
      <c r="L20" s="124"/>
      <c r="M20" s="124"/>
      <c r="N20" s="124"/>
      <c r="O20" s="124"/>
      <c r="P20" s="124"/>
      <c r="Q20" s="124"/>
      <c r="R20" s="125"/>
      <c r="S20" s="124"/>
      <c r="T20" s="124"/>
      <c r="U20" s="124"/>
      <c r="V20" s="124"/>
      <c r="W20" s="124"/>
      <c r="X20" s="124"/>
      <c r="Y20" s="124"/>
      <c r="Z20" s="124"/>
      <c r="AA20" s="124"/>
      <c r="AB20" s="124"/>
      <c r="AC20" s="124"/>
      <c r="AD20" s="124"/>
      <c r="AE20" s="124"/>
      <c r="AF20" s="124"/>
      <c r="AG20" s="124"/>
      <c r="AH20" s="124"/>
      <c r="AI20" s="124"/>
      <c r="AJ20" s="124"/>
      <c r="AK20" s="124"/>
      <c r="AL20" s="20"/>
      <c r="AM20" s="20"/>
      <c r="AN20" s="20"/>
    </row>
    <row r="21" spans="1:40" s="369" customFormat="1" ht="15" customHeight="1" x14ac:dyDescent="0.3">
      <c r="A21" s="20"/>
      <c r="B21" s="291">
        <v>7</v>
      </c>
      <c r="C21" s="318" t="s">
        <v>129</v>
      </c>
      <c r="D21" s="137"/>
      <c r="E21" s="138"/>
      <c r="F21" s="381">
        <f>SUMIF($G$34:$G$133,"Combined Summary",L$34:L$133) + SUMIF($F$34:$F$133,"Standalone",L$34:L$133)+SUMIF($G$34:$G$133,"Combined Summary",M$34:M$133)+ SUMIF($F$34:$F$133,"Standalone",M$34:M$133)</f>
        <v>3690214.16</v>
      </c>
      <c r="G21" s="382">
        <f>SUMIF($G$34:$G$133,"Combined Summary",N$34:N$133) + SUMIF($F$34:$F$133,"Standalone",N$34:N$133)</f>
        <v>0</v>
      </c>
      <c r="H21" s="382">
        <f>SUMIF($G$34:$G$133,"Combined Summary",O$34:O$133) + SUMIF($F$34:$F$133,"Standalone",O$34:O$133)</f>
        <v>0</v>
      </c>
      <c r="I21" s="382">
        <f>SUMIF($G$34:$G$133,"Combined Summary",P$34:P$133) + SUMIF($F$34:$F$133,"Standalone",P$34:P$133)</f>
        <v>0</v>
      </c>
      <c r="J21" s="382">
        <f>SUMIF($G$34:$G$133,"Combined Summary",Q$34:Q$133) + SUMIF($F$34:$F$133,"Standalone",Q$34:Q$133)</f>
        <v>36949.949999999997</v>
      </c>
      <c r="K21" s="340">
        <f>SUM(F21:J21)</f>
        <v>3727164.1100000003</v>
      </c>
      <c r="L21" s="124"/>
      <c r="M21" s="124"/>
      <c r="N21" s="124"/>
      <c r="O21" s="124"/>
      <c r="P21" s="124"/>
      <c r="Q21" s="124"/>
      <c r="R21" s="125"/>
      <c r="S21" s="124"/>
      <c r="T21" s="124"/>
      <c r="U21" s="124"/>
      <c r="V21" s="124"/>
      <c r="W21" s="124"/>
      <c r="X21" s="124"/>
      <c r="Y21" s="124"/>
      <c r="Z21" s="124"/>
      <c r="AA21" s="124"/>
      <c r="AB21" s="124"/>
      <c r="AC21" s="124"/>
      <c r="AD21" s="124"/>
      <c r="AE21" s="124"/>
      <c r="AF21" s="124"/>
      <c r="AG21" s="124"/>
      <c r="AH21" s="124"/>
      <c r="AI21" s="124"/>
      <c r="AJ21" s="124"/>
      <c r="AK21" s="124"/>
      <c r="AL21" s="20"/>
      <c r="AM21" s="20"/>
      <c r="AN21" s="20"/>
    </row>
    <row r="22" spans="1:40" s="369" customFormat="1" ht="30.9" customHeight="1" x14ac:dyDescent="0.3">
      <c r="A22" s="20"/>
      <c r="B22" s="291">
        <v>8</v>
      </c>
      <c r="C22" s="383" t="s">
        <v>296</v>
      </c>
      <c r="D22" s="129"/>
      <c r="E22" s="148"/>
      <c r="F22" s="384">
        <f>SUM(F15:F17,F20:F21)</f>
        <v>4248139.54</v>
      </c>
      <c r="G22" s="384">
        <f>SUM(G15:G17,G20:G21)</f>
        <v>0</v>
      </c>
      <c r="H22" s="384">
        <f>SUM(H15:H17,H20:H21)</f>
        <v>0</v>
      </c>
      <c r="I22" s="384">
        <f>SUM(I15:I17,I20:I21)</f>
        <v>0</v>
      </c>
      <c r="J22" s="384">
        <f>SUM(J15:J17,J20:J21)</f>
        <v>89438.09</v>
      </c>
      <c r="K22" s="384">
        <f t="shared" si="0"/>
        <v>4337577.63</v>
      </c>
      <c r="L22" s="124"/>
      <c r="M22" s="124"/>
      <c r="N22" s="124"/>
      <c r="O22" s="124"/>
      <c r="P22" s="124"/>
      <c r="Q22" s="124"/>
      <c r="R22" s="125"/>
      <c r="S22" s="124"/>
      <c r="T22" s="124"/>
      <c r="U22" s="124"/>
      <c r="V22" s="124"/>
      <c r="W22" s="124"/>
      <c r="X22" s="124"/>
      <c r="Y22" s="124"/>
      <c r="Z22" s="124"/>
      <c r="AA22" s="124"/>
      <c r="AB22" s="124"/>
      <c r="AC22" s="124"/>
      <c r="AD22" s="124"/>
      <c r="AE22" s="124"/>
      <c r="AF22" s="124"/>
      <c r="AG22" s="124"/>
      <c r="AH22" s="124"/>
      <c r="AI22" s="124"/>
      <c r="AJ22" s="124"/>
      <c r="AK22" s="124"/>
      <c r="AL22" s="20"/>
      <c r="AM22" s="20"/>
      <c r="AN22" s="20"/>
    </row>
    <row r="23" spans="1:40" x14ac:dyDescent="0.3">
      <c r="A23" s="19"/>
      <c r="B23" s="19"/>
      <c r="C23" s="19"/>
      <c r="D23" s="2"/>
      <c r="E23" s="2"/>
      <c r="F23" s="2"/>
      <c r="G23" s="11"/>
      <c r="H23" s="2"/>
      <c r="I23" s="20"/>
      <c r="J23" s="20"/>
      <c r="K23" s="20"/>
      <c r="L23" s="20"/>
      <c r="M23" s="20"/>
      <c r="N23" s="20"/>
      <c r="O23" s="124"/>
      <c r="P23" s="124"/>
      <c r="Q23" s="124"/>
      <c r="R23" s="125"/>
      <c r="S23" s="124"/>
      <c r="T23" s="124"/>
      <c r="U23" s="124"/>
      <c r="V23" s="124"/>
      <c r="W23" s="124"/>
      <c r="X23" s="124"/>
      <c r="Y23" s="124"/>
      <c r="Z23" s="124"/>
      <c r="AA23" s="124"/>
      <c r="AB23" s="124"/>
      <c r="AC23" s="124"/>
      <c r="AD23" s="124"/>
      <c r="AE23" s="124"/>
      <c r="AF23" s="124"/>
      <c r="AG23" s="124"/>
      <c r="AH23" s="124"/>
      <c r="AI23" s="124"/>
      <c r="AJ23" s="124"/>
      <c r="AK23" s="124"/>
      <c r="AL23" s="124"/>
      <c r="AM23" s="124"/>
      <c r="AN23" s="124"/>
    </row>
    <row r="24" spans="1:40" ht="18" thickBot="1" x14ac:dyDescent="0.35">
      <c r="A24" s="19"/>
      <c r="B24" s="324" t="s">
        <v>212</v>
      </c>
      <c r="C24" s="135"/>
      <c r="D24" s="135"/>
      <c r="E24" s="135"/>
      <c r="F24" s="149"/>
      <c r="G24" s="2"/>
      <c r="H24" s="124"/>
      <c r="I24" s="124"/>
      <c r="J24" s="124"/>
      <c r="K24" s="124"/>
      <c r="L24" s="124"/>
      <c r="M24" s="124"/>
      <c r="N24" s="124"/>
      <c r="O24" s="124"/>
      <c r="P24" s="124"/>
      <c r="Q24" s="124"/>
      <c r="R24" s="125"/>
      <c r="S24" s="124"/>
      <c r="T24" s="124"/>
      <c r="U24" s="124"/>
      <c r="V24" s="124"/>
      <c r="W24" s="124"/>
      <c r="X24" s="124"/>
      <c r="Y24" s="124"/>
      <c r="Z24" s="124"/>
      <c r="AA24" s="124"/>
      <c r="AB24" s="124"/>
      <c r="AC24" s="124"/>
      <c r="AD24" s="124"/>
      <c r="AE24" s="124"/>
      <c r="AF24" s="124"/>
      <c r="AG24" s="124"/>
      <c r="AH24" s="124"/>
      <c r="AI24" s="124"/>
      <c r="AJ24" s="124"/>
      <c r="AK24" s="124"/>
      <c r="AL24" s="124"/>
      <c r="AM24" s="124"/>
      <c r="AN24" s="124"/>
    </row>
    <row r="25" spans="1:40" ht="16.2" thickTop="1" x14ac:dyDescent="0.3">
      <c r="A25" s="19"/>
      <c r="B25" s="19"/>
      <c r="C25" s="2"/>
      <c r="D25" s="2"/>
      <c r="E25" s="2"/>
      <c r="F25" s="2"/>
      <c r="G25" s="11"/>
      <c r="H25" s="2"/>
      <c r="I25" s="20"/>
      <c r="J25" s="20"/>
      <c r="K25" s="20"/>
      <c r="L25" s="20"/>
      <c r="M25" s="20"/>
      <c r="N25" s="20"/>
      <c r="O25" s="124"/>
      <c r="P25" s="124"/>
      <c r="Q25" s="124"/>
      <c r="R25" s="125"/>
      <c r="S25" s="124"/>
      <c r="T25" s="124"/>
      <c r="U25" s="124"/>
      <c r="V25" s="124"/>
      <c r="W25" s="124"/>
      <c r="X25" s="124"/>
      <c r="Y25" s="124"/>
      <c r="Z25" s="124"/>
      <c r="AA25" s="124"/>
      <c r="AB25" s="124"/>
      <c r="AC25" s="124"/>
      <c r="AD25" s="124"/>
      <c r="AE25" s="124"/>
      <c r="AF25" s="124"/>
      <c r="AG25" s="124"/>
      <c r="AH25" s="124"/>
      <c r="AI25" s="124"/>
      <c r="AJ25" s="124"/>
      <c r="AK25" s="124"/>
      <c r="AL25" s="124"/>
      <c r="AM25" s="124"/>
      <c r="AN25" s="124"/>
    </row>
    <row r="26" spans="1:40" x14ac:dyDescent="0.3">
      <c r="A26" s="19"/>
      <c r="B26" s="19"/>
      <c r="C26" s="2"/>
      <c r="D26" s="2"/>
      <c r="E26" s="286" t="s">
        <v>22</v>
      </c>
      <c r="F26" s="385" t="s">
        <v>23</v>
      </c>
      <c r="G26" s="2"/>
      <c r="H26" s="20"/>
      <c r="I26" s="20"/>
      <c r="J26" s="20"/>
      <c r="K26" s="20"/>
      <c r="L26" s="20"/>
      <c r="M26" s="20"/>
      <c r="N26" s="124"/>
      <c r="O26" s="124"/>
      <c r="P26" s="124"/>
      <c r="Q26" s="125"/>
      <c r="R26" s="124"/>
      <c r="S26" s="124"/>
      <c r="T26" s="124"/>
      <c r="U26" s="124"/>
      <c r="V26" s="124"/>
      <c r="W26" s="124"/>
      <c r="X26" s="124"/>
      <c r="Y26" s="124"/>
      <c r="Z26" s="124"/>
      <c r="AA26" s="124"/>
      <c r="AB26" s="124"/>
      <c r="AC26" s="124"/>
      <c r="AD26" s="124"/>
      <c r="AE26" s="124"/>
      <c r="AF26" s="124"/>
      <c r="AG26" s="124"/>
      <c r="AH26" s="124"/>
      <c r="AI26" s="124"/>
      <c r="AJ26" s="124"/>
      <c r="AK26" s="124"/>
      <c r="AL26" s="124"/>
      <c r="AM26" s="124"/>
      <c r="AN26" s="19"/>
    </row>
    <row r="27" spans="1:40" ht="48" customHeight="1" x14ac:dyDescent="0.3">
      <c r="A27" s="19"/>
      <c r="B27" s="17"/>
      <c r="C27" s="17"/>
      <c r="D27" s="17"/>
      <c r="E27" s="386" t="s">
        <v>283</v>
      </c>
      <c r="F27" s="333" t="s">
        <v>284</v>
      </c>
      <c r="G27" s="20"/>
      <c r="H27" s="20"/>
      <c r="I27" s="20"/>
      <c r="J27" s="20"/>
      <c r="K27" s="20"/>
      <c r="L27" s="20"/>
      <c r="M27" s="20"/>
      <c r="N27" s="20"/>
      <c r="O27" s="20"/>
      <c r="P27" s="20"/>
      <c r="Q27" s="125"/>
      <c r="R27" s="124"/>
      <c r="S27" s="124"/>
      <c r="T27" s="124"/>
      <c r="U27" s="124"/>
      <c r="V27" s="124"/>
      <c r="W27" s="124"/>
      <c r="X27" s="124"/>
      <c r="Y27" s="124"/>
      <c r="Z27" s="124"/>
      <c r="AA27" s="124"/>
      <c r="AB27" s="124"/>
      <c r="AC27" s="124"/>
      <c r="AD27" s="124"/>
      <c r="AE27" s="124"/>
      <c r="AF27" s="124"/>
      <c r="AG27" s="124"/>
      <c r="AH27" s="124"/>
      <c r="AI27" s="124"/>
      <c r="AJ27" s="124"/>
      <c r="AK27" s="124"/>
      <c r="AL27" s="124"/>
      <c r="AM27" s="124"/>
      <c r="AN27" s="19"/>
    </row>
    <row r="28" spans="1:40" ht="96.75" customHeight="1" x14ac:dyDescent="0.3">
      <c r="A28" s="19"/>
      <c r="B28" s="272">
        <v>9</v>
      </c>
      <c r="C28" s="150"/>
      <c r="D28" s="387" t="s">
        <v>580</v>
      </c>
      <c r="E28" s="388">
        <f>IF(F22=0,"0%",((SUMPRODUCT($K$34:$K$133,$L$34:$L$133))+(SUMPRODUCT(K34:K133,M34:M133))+(F20*F28))/$F$22)</f>
        <v>0.56855655193473242</v>
      </c>
      <c r="F28" s="407"/>
      <c r="G28" s="20"/>
      <c r="H28" s="20"/>
      <c r="I28" s="20"/>
      <c r="J28" s="20"/>
      <c r="K28" s="20"/>
      <c r="L28" s="20"/>
      <c r="M28" s="20"/>
      <c r="N28" s="20"/>
      <c r="O28" s="20"/>
      <c r="P28" s="20"/>
      <c r="Q28" s="125"/>
      <c r="R28" s="124"/>
      <c r="S28" s="124"/>
      <c r="T28" s="124"/>
      <c r="U28" s="124"/>
      <c r="V28" s="124"/>
      <c r="W28" s="124"/>
      <c r="X28" s="124"/>
      <c r="Y28" s="124"/>
      <c r="Z28" s="124"/>
      <c r="AA28" s="124"/>
      <c r="AB28" s="124"/>
      <c r="AC28" s="124"/>
      <c r="AD28" s="124"/>
      <c r="AE28" s="124"/>
      <c r="AF28" s="124"/>
      <c r="AG28" s="124"/>
      <c r="AH28" s="124"/>
      <c r="AI28" s="124"/>
      <c r="AJ28" s="124"/>
      <c r="AK28" s="124"/>
      <c r="AL28" s="124"/>
      <c r="AM28" s="124"/>
      <c r="AN28" s="19"/>
    </row>
    <row r="29" spans="1:40" s="205" customFormat="1" x14ac:dyDescent="0.3">
      <c r="A29" s="17"/>
      <c r="B29" s="17"/>
      <c r="C29" s="17"/>
      <c r="D29" s="17"/>
      <c r="E29" s="17"/>
      <c r="F29" s="17"/>
      <c r="G29" s="17"/>
      <c r="H29" s="17"/>
      <c r="I29" s="17"/>
      <c r="J29" s="17"/>
      <c r="K29" s="17"/>
      <c r="L29" s="17"/>
      <c r="M29" s="17"/>
      <c r="N29" s="17"/>
      <c r="O29" s="17"/>
      <c r="P29" s="17"/>
      <c r="Q29" s="17"/>
      <c r="R29" s="125"/>
      <c r="S29" s="124"/>
      <c r="T29" s="124"/>
      <c r="U29" s="124"/>
      <c r="V29" s="124"/>
      <c r="W29" s="124"/>
      <c r="X29" s="124"/>
      <c r="Y29" s="124"/>
      <c r="Z29" s="124"/>
      <c r="AA29" s="124"/>
      <c r="AB29" s="124"/>
      <c r="AC29" s="124"/>
      <c r="AD29" s="124"/>
      <c r="AE29" s="124"/>
      <c r="AF29" s="124"/>
      <c r="AG29" s="124"/>
      <c r="AH29" s="124"/>
      <c r="AI29" s="124"/>
      <c r="AJ29" s="124"/>
      <c r="AK29" s="124"/>
      <c r="AL29" s="124"/>
      <c r="AM29" s="124"/>
      <c r="AN29" s="124"/>
    </row>
    <row r="30" spans="1:40" ht="18" thickBot="1" x14ac:dyDescent="0.35">
      <c r="A30" s="19"/>
      <c r="B30" s="324" t="s">
        <v>213</v>
      </c>
      <c r="C30" s="151"/>
      <c r="D30" s="151"/>
      <c r="E30" s="151"/>
      <c r="F30" s="152"/>
      <c r="G30" s="135"/>
      <c r="H30" s="144"/>
      <c r="I30" s="144"/>
      <c r="J30" s="144"/>
      <c r="K30" s="144"/>
      <c r="L30" s="144"/>
      <c r="M30" s="144"/>
      <c r="N30" s="144"/>
      <c r="O30" s="144"/>
      <c r="P30" s="144"/>
      <c r="Q30" s="144"/>
      <c r="R30" s="144"/>
      <c r="S30" s="124"/>
      <c r="T30" s="124"/>
      <c r="U30" s="124"/>
      <c r="V30" s="124"/>
      <c r="W30" s="124"/>
      <c r="X30" s="124"/>
      <c r="Y30" s="124"/>
      <c r="Z30" s="124"/>
      <c r="AA30" s="124"/>
      <c r="AB30" s="124"/>
      <c r="AC30" s="124"/>
      <c r="AD30" s="124"/>
      <c r="AE30" s="124"/>
      <c r="AF30" s="124"/>
      <c r="AG30" s="124"/>
      <c r="AH30" s="124"/>
      <c r="AI30" s="124"/>
      <c r="AJ30" s="124"/>
      <c r="AK30" s="124"/>
      <c r="AL30" s="124"/>
      <c r="AM30" s="124"/>
      <c r="AN30" s="124"/>
    </row>
    <row r="31" spans="1:40" ht="16.2" thickTop="1" x14ac:dyDescent="0.3">
      <c r="A31" s="19"/>
      <c r="B31" s="19"/>
      <c r="C31" s="2"/>
      <c r="D31" s="153"/>
      <c r="E31" s="153"/>
      <c r="F31" s="153"/>
      <c r="G31" s="154"/>
      <c r="H31" s="2"/>
      <c r="I31" s="20"/>
      <c r="J31" s="20"/>
      <c r="K31" s="20"/>
      <c r="L31" s="20"/>
      <c r="M31" s="20"/>
      <c r="N31" s="20"/>
      <c r="O31" s="20"/>
      <c r="P31" s="20"/>
      <c r="Q31" s="20"/>
      <c r="R31" s="125"/>
      <c r="S31" s="124"/>
      <c r="T31" s="124"/>
      <c r="U31" s="124"/>
      <c r="V31" s="124"/>
      <c r="W31" s="124"/>
      <c r="X31" s="124"/>
      <c r="Y31" s="124"/>
      <c r="Z31" s="124"/>
      <c r="AA31" s="124"/>
      <c r="AB31" s="124"/>
      <c r="AC31" s="124"/>
      <c r="AD31" s="124"/>
      <c r="AE31" s="124"/>
      <c r="AF31" s="124"/>
      <c r="AG31" s="124"/>
      <c r="AH31" s="124"/>
      <c r="AI31" s="124"/>
      <c r="AJ31" s="124"/>
      <c r="AK31" s="124"/>
      <c r="AL31" s="124"/>
      <c r="AM31" s="124"/>
      <c r="AN31" s="124"/>
    </row>
    <row r="32" spans="1:40" x14ac:dyDescent="0.3">
      <c r="A32" s="19"/>
      <c r="B32" s="19"/>
      <c r="C32" s="389" t="s">
        <v>22</v>
      </c>
      <c r="D32" s="389" t="s">
        <v>23</v>
      </c>
      <c r="E32" s="389" t="s">
        <v>25</v>
      </c>
      <c r="F32" s="385" t="s">
        <v>199</v>
      </c>
      <c r="G32" s="286" t="s">
        <v>200</v>
      </c>
      <c r="H32" s="390" t="s">
        <v>201</v>
      </c>
      <c r="I32" s="390" t="s">
        <v>210</v>
      </c>
      <c r="J32" s="390" t="s">
        <v>202</v>
      </c>
      <c r="K32" s="390" t="s">
        <v>203</v>
      </c>
      <c r="L32" s="291" t="s">
        <v>204</v>
      </c>
      <c r="M32" s="391" t="s">
        <v>205</v>
      </c>
      <c r="N32" s="291" t="s">
        <v>206</v>
      </c>
      <c r="O32" s="291" t="s">
        <v>207</v>
      </c>
      <c r="P32" s="392" t="s">
        <v>208</v>
      </c>
      <c r="Q32" s="392" t="s">
        <v>209</v>
      </c>
      <c r="R32" s="291" t="s">
        <v>599</v>
      </c>
      <c r="S32" s="125"/>
      <c r="T32" s="124"/>
      <c r="U32" s="124"/>
      <c r="V32" s="124"/>
      <c r="W32" s="124"/>
      <c r="X32" s="124"/>
      <c r="Y32" s="124"/>
      <c r="Z32" s="124"/>
      <c r="AA32" s="124"/>
      <c r="AB32" s="124"/>
      <c r="AC32" s="124"/>
      <c r="AD32" s="124"/>
      <c r="AE32" s="124"/>
      <c r="AF32" s="124"/>
      <c r="AG32" s="124"/>
      <c r="AH32" s="124"/>
      <c r="AI32" s="124"/>
      <c r="AJ32" s="124"/>
      <c r="AK32" s="124"/>
      <c r="AL32" s="124"/>
      <c r="AM32" s="124"/>
      <c r="AN32" s="19"/>
    </row>
    <row r="33" spans="1:40" s="399" customFormat="1" ht="133.5" customHeight="1" x14ac:dyDescent="0.3">
      <c r="A33" s="22"/>
      <c r="B33" s="272" t="s">
        <v>117</v>
      </c>
      <c r="C33" s="393" t="s">
        <v>165</v>
      </c>
      <c r="D33" s="394" t="s">
        <v>8</v>
      </c>
      <c r="E33" s="395" t="s">
        <v>3</v>
      </c>
      <c r="F33" s="395" t="s">
        <v>297</v>
      </c>
      <c r="G33" s="395" t="s">
        <v>95</v>
      </c>
      <c r="H33" s="395" t="s">
        <v>166</v>
      </c>
      <c r="I33" s="395" t="s">
        <v>121</v>
      </c>
      <c r="J33" s="395" t="s">
        <v>298</v>
      </c>
      <c r="K33" s="395" t="s">
        <v>299</v>
      </c>
      <c r="L33" s="377" t="s">
        <v>276</v>
      </c>
      <c r="M33" s="395" t="s">
        <v>602</v>
      </c>
      <c r="N33" s="396" t="s">
        <v>4</v>
      </c>
      <c r="O33" s="395" t="s">
        <v>5</v>
      </c>
      <c r="P33" s="395" t="s">
        <v>24</v>
      </c>
      <c r="Q33" s="395" t="s">
        <v>12</v>
      </c>
      <c r="R33" s="397" t="s">
        <v>216</v>
      </c>
      <c r="S33" s="398" t="s">
        <v>231</v>
      </c>
      <c r="T33" s="107"/>
      <c r="U33" s="124"/>
      <c r="V33" s="124"/>
      <c r="W33" s="124"/>
      <c r="X33" s="124"/>
      <c r="Y33" s="124"/>
      <c r="Z33" s="124"/>
      <c r="AA33" s="124"/>
      <c r="AB33" s="124"/>
      <c r="AC33" s="124"/>
      <c r="AD33" s="124"/>
      <c r="AE33" s="124"/>
      <c r="AF33" s="124"/>
      <c r="AG33" s="124"/>
      <c r="AH33" s="124"/>
      <c r="AI33" s="124"/>
      <c r="AJ33" s="124"/>
      <c r="AK33" s="124"/>
      <c r="AL33" s="124"/>
      <c r="AM33" s="22"/>
      <c r="AN33" s="22"/>
    </row>
    <row r="34" spans="1:40" x14ac:dyDescent="0.3">
      <c r="A34" s="19"/>
      <c r="B34" s="400">
        <v>10</v>
      </c>
      <c r="C34" s="401">
        <f t="shared" ref="C34:C65" si="2">IF(AND(NOT(COUNTA(D34:J34)),(NOT(COUNTA(L34:Q34)))),"",VLOOKUP($D$9,Info_County_Code,2,FALSE))</f>
        <v>21</v>
      </c>
      <c r="D34" s="190" t="s">
        <v>821</v>
      </c>
      <c r="E34" s="364"/>
      <c r="F34" s="191" t="s">
        <v>122</v>
      </c>
      <c r="G34" s="191" t="s">
        <v>118</v>
      </c>
      <c r="H34" s="195"/>
      <c r="I34" s="193">
        <v>1</v>
      </c>
      <c r="J34" s="193">
        <v>1</v>
      </c>
      <c r="K34" s="402">
        <f>IF(OR(G34="Combined Summary",F34="Standalone"),(SUMPRODUCT(--(D$34:D$133=D34),I$34:I$133,J$34:J$133)),"")</f>
        <v>1</v>
      </c>
      <c r="L34" s="185">
        <v>457504.58</v>
      </c>
      <c r="M34" s="408"/>
      <c r="N34" s="409"/>
      <c r="O34" s="408"/>
      <c r="P34" s="408"/>
      <c r="Q34" s="408"/>
      <c r="R34" s="380">
        <f t="shared" ref="R34:R65" si="3">SUM(L34:Q34)</f>
        <v>457504.58</v>
      </c>
      <c r="S34" s="403">
        <f t="shared" ref="S34:S65" si="4">IF(OR(G34="Combined Summary",F34="Standalone"),(SUMIF(D$34:D$133,D34,I$34:I$133)),"")</f>
        <v>1</v>
      </c>
      <c r="T34" s="404" t="str">
        <f t="shared" ref="T34:T65" si="5">IF(AND(F34="Standalone",NOT(S34=1)),"ERROR",IF(AND(G34="Combined Summary",NOT(S34=1)),"ERROR",""))</f>
        <v/>
      </c>
      <c r="U34" s="126"/>
      <c r="V34" s="124"/>
      <c r="W34" s="124"/>
      <c r="X34" s="124"/>
      <c r="Y34" s="124"/>
      <c r="Z34" s="124"/>
      <c r="AA34" s="124"/>
      <c r="AB34" s="124"/>
      <c r="AC34" s="124"/>
      <c r="AD34" s="124"/>
      <c r="AE34" s="124"/>
      <c r="AF34" s="124"/>
      <c r="AG34" s="124"/>
      <c r="AH34" s="124"/>
      <c r="AI34" s="124"/>
      <c r="AJ34" s="124"/>
      <c r="AK34" s="124"/>
      <c r="AL34" s="124"/>
      <c r="AM34" s="19"/>
      <c r="AN34" s="19"/>
    </row>
    <row r="35" spans="1:40" x14ac:dyDescent="0.3">
      <c r="A35" s="19"/>
      <c r="B35" s="400">
        <v>11</v>
      </c>
      <c r="C35" s="401">
        <f t="shared" si="2"/>
        <v>21</v>
      </c>
      <c r="D35" s="190" t="s">
        <v>822</v>
      </c>
      <c r="E35" s="364"/>
      <c r="F35" s="191" t="s">
        <v>122</v>
      </c>
      <c r="G35" s="191" t="s">
        <v>119</v>
      </c>
      <c r="H35" s="195"/>
      <c r="I35" s="193">
        <v>1</v>
      </c>
      <c r="J35" s="193">
        <v>1</v>
      </c>
      <c r="K35" s="402">
        <f t="shared" ref="K35:K98" si="6">IF(OR(G35="Combined Summary",F35="Standalone"),(SUMPRODUCT(--(D$34:D$133=D35),I$34:I$133,J$34:J$133)),"")</f>
        <v>1</v>
      </c>
      <c r="L35" s="185">
        <v>428778.03</v>
      </c>
      <c r="M35" s="408"/>
      <c r="N35" s="409"/>
      <c r="O35" s="408"/>
      <c r="P35" s="408"/>
      <c r="Q35" s="408"/>
      <c r="R35" s="380">
        <f t="shared" si="3"/>
        <v>428778.03</v>
      </c>
      <c r="S35" s="403">
        <f t="shared" si="4"/>
        <v>1</v>
      </c>
      <c r="T35" s="405" t="str">
        <f t="shared" si="5"/>
        <v/>
      </c>
      <c r="U35" s="126"/>
      <c r="V35" s="124"/>
      <c r="W35" s="124"/>
      <c r="X35" s="124"/>
      <c r="Y35" s="124"/>
      <c r="Z35" s="124"/>
      <c r="AA35" s="124"/>
      <c r="AB35" s="124"/>
      <c r="AC35" s="124"/>
      <c r="AD35" s="124"/>
      <c r="AE35" s="124"/>
      <c r="AF35" s="124"/>
      <c r="AG35" s="124"/>
      <c r="AH35" s="124"/>
      <c r="AI35" s="124"/>
      <c r="AJ35" s="124"/>
      <c r="AK35" s="124"/>
      <c r="AL35" s="124"/>
      <c r="AM35" s="19"/>
      <c r="AN35" s="19"/>
    </row>
    <row r="36" spans="1:40" x14ac:dyDescent="0.3">
      <c r="A36" s="19"/>
      <c r="B36" s="400">
        <v>12</v>
      </c>
      <c r="C36" s="401">
        <f t="shared" si="2"/>
        <v>21</v>
      </c>
      <c r="D36" s="190" t="s">
        <v>823</v>
      </c>
      <c r="E36" s="364"/>
      <c r="F36" s="191" t="s">
        <v>122</v>
      </c>
      <c r="G36" s="191" t="s">
        <v>124</v>
      </c>
      <c r="H36" s="195"/>
      <c r="I36" s="193">
        <v>1</v>
      </c>
      <c r="J36" s="193">
        <v>0.09</v>
      </c>
      <c r="K36" s="402">
        <f t="shared" si="6"/>
        <v>0.09</v>
      </c>
      <c r="L36" s="185">
        <v>617855.79</v>
      </c>
      <c r="M36" s="408"/>
      <c r="N36" s="409"/>
      <c r="O36" s="408"/>
      <c r="P36" s="408"/>
      <c r="Q36" s="408"/>
      <c r="R36" s="380">
        <f t="shared" si="3"/>
        <v>617855.79</v>
      </c>
      <c r="S36" s="403">
        <f t="shared" si="4"/>
        <v>1</v>
      </c>
      <c r="T36" s="405" t="str">
        <f t="shared" si="5"/>
        <v/>
      </c>
      <c r="U36" s="124"/>
      <c r="V36" s="124"/>
      <c r="W36" s="124"/>
      <c r="X36" s="124"/>
      <c r="Y36" s="124"/>
      <c r="Z36" s="124"/>
      <c r="AA36" s="124"/>
      <c r="AB36" s="124"/>
      <c r="AC36" s="124"/>
      <c r="AD36" s="124"/>
      <c r="AE36" s="124"/>
      <c r="AF36" s="124"/>
      <c r="AG36" s="124"/>
      <c r="AH36" s="124"/>
      <c r="AI36" s="124"/>
      <c r="AJ36" s="124"/>
      <c r="AK36" s="124"/>
      <c r="AL36" s="124"/>
      <c r="AM36" s="19"/>
      <c r="AN36" s="19"/>
    </row>
    <row r="37" spans="1:40" ht="30.6" x14ac:dyDescent="0.3">
      <c r="A37" s="19"/>
      <c r="B37" s="400">
        <v>13</v>
      </c>
      <c r="C37" s="401">
        <f t="shared" si="2"/>
        <v>21</v>
      </c>
      <c r="D37" s="190" t="s">
        <v>824</v>
      </c>
      <c r="E37" s="364"/>
      <c r="F37" s="191" t="s">
        <v>122</v>
      </c>
      <c r="G37" s="191" t="s">
        <v>119</v>
      </c>
      <c r="H37" s="195"/>
      <c r="I37" s="193">
        <v>1</v>
      </c>
      <c r="J37" s="193">
        <v>0</v>
      </c>
      <c r="K37" s="402">
        <f t="shared" si="6"/>
        <v>0</v>
      </c>
      <c r="L37" s="185">
        <v>270679.58</v>
      </c>
      <c r="M37" s="408"/>
      <c r="N37" s="409"/>
      <c r="O37" s="408"/>
      <c r="P37" s="408"/>
      <c r="Q37" s="408"/>
      <c r="R37" s="380">
        <f t="shared" si="3"/>
        <v>270679.58</v>
      </c>
      <c r="S37" s="403">
        <f t="shared" si="4"/>
        <v>1</v>
      </c>
      <c r="T37" s="405" t="str">
        <f t="shared" si="5"/>
        <v/>
      </c>
      <c r="U37" s="124"/>
      <c r="V37" s="124"/>
      <c r="W37" s="124"/>
      <c r="X37" s="124"/>
      <c r="Y37" s="124"/>
      <c r="Z37" s="124"/>
      <c r="AA37" s="124"/>
      <c r="AB37" s="124"/>
      <c r="AC37" s="124"/>
      <c r="AD37" s="124"/>
      <c r="AE37" s="124"/>
      <c r="AF37" s="124"/>
      <c r="AG37" s="124"/>
      <c r="AH37" s="124"/>
      <c r="AI37" s="124"/>
      <c r="AJ37" s="124"/>
      <c r="AK37" s="124"/>
      <c r="AL37" s="124"/>
      <c r="AM37" s="19"/>
      <c r="AN37" s="19"/>
    </row>
    <row r="38" spans="1:40" x14ac:dyDescent="0.3">
      <c r="A38" s="19"/>
      <c r="B38" s="400">
        <v>14</v>
      </c>
      <c r="C38" s="401">
        <f t="shared" si="2"/>
        <v>21</v>
      </c>
      <c r="D38" s="190" t="s">
        <v>825</v>
      </c>
      <c r="E38" s="364"/>
      <c r="F38" s="191" t="s">
        <v>122</v>
      </c>
      <c r="G38" s="191" t="s">
        <v>125</v>
      </c>
      <c r="H38" s="195"/>
      <c r="I38" s="193">
        <v>1</v>
      </c>
      <c r="J38" s="193">
        <v>0.45</v>
      </c>
      <c r="K38" s="402">
        <f t="shared" si="6"/>
        <v>0.45</v>
      </c>
      <c r="L38" s="185">
        <v>81785.91</v>
      </c>
      <c r="M38" s="408"/>
      <c r="N38" s="409"/>
      <c r="O38" s="408"/>
      <c r="P38" s="408"/>
      <c r="Q38" s="408"/>
      <c r="R38" s="380">
        <f t="shared" si="3"/>
        <v>81785.91</v>
      </c>
      <c r="S38" s="403">
        <f t="shared" si="4"/>
        <v>1</v>
      </c>
      <c r="T38" s="405" t="str">
        <f t="shared" si="5"/>
        <v/>
      </c>
      <c r="U38" s="124"/>
      <c r="V38" s="124"/>
      <c r="W38" s="124"/>
      <c r="X38" s="124"/>
      <c r="Y38" s="124"/>
      <c r="Z38" s="124"/>
      <c r="AA38" s="124"/>
      <c r="AB38" s="124"/>
      <c r="AC38" s="124"/>
      <c r="AD38" s="124"/>
      <c r="AE38" s="124"/>
      <c r="AF38" s="124"/>
      <c r="AG38" s="124"/>
      <c r="AH38" s="124"/>
      <c r="AI38" s="124"/>
      <c r="AJ38" s="124"/>
      <c r="AK38" s="124"/>
      <c r="AL38" s="124"/>
      <c r="AM38" s="19"/>
      <c r="AN38" s="19"/>
    </row>
    <row r="39" spans="1:40" ht="30.6" x14ac:dyDescent="0.3">
      <c r="A39" s="19"/>
      <c r="B39" s="400">
        <v>15</v>
      </c>
      <c r="C39" s="401">
        <f t="shared" si="2"/>
        <v>21</v>
      </c>
      <c r="D39" s="190" t="s">
        <v>826</v>
      </c>
      <c r="E39" s="364"/>
      <c r="F39" s="191" t="s">
        <v>122</v>
      </c>
      <c r="G39" s="191" t="s">
        <v>118</v>
      </c>
      <c r="H39" s="195"/>
      <c r="I39" s="193">
        <v>1</v>
      </c>
      <c r="J39" s="193">
        <v>1</v>
      </c>
      <c r="K39" s="402">
        <f t="shared" si="6"/>
        <v>1</v>
      </c>
      <c r="L39" s="185">
        <v>899793.66</v>
      </c>
      <c r="M39" s="408"/>
      <c r="N39" s="409"/>
      <c r="O39" s="408"/>
      <c r="P39" s="408"/>
      <c r="Q39" s="408"/>
      <c r="R39" s="380">
        <f t="shared" si="3"/>
        <v>899793.66</v>
      </c>
      <c r="S39" s="403">
        <f t="shared" si="4"/>
        <v>1</v>
      </c>
      <c r="T39" s="405" t="str">
        <f t="shared" si="5"/>
        <v/>
      </c>
      <c r="U39" s="124"/>
      <c r="V39" s="124"/>
      <c r="W39" s="124"/>
      <c r="X39" s="124"/>
      <c r="Y39" s="124"/>
      <c r="Z39" s="124"/>
      <c r="AA39" s="124"/>
      <c r="AB39" s="124"/>
      <c r="AC39" s="124"/>
      <c r="AD39" s="124"/>
      <c r="AE39" s="124"/>
      <c r="AF39" s="124"/>
      <c r="AG39" s="124"/>
      <c r="AH39" s="124"/>
      <c r="AI39" s="124"/>
      <c r="AJ39" s="124"/>
      <c r="AK39" s="124"/>
      <c r="AL39" s="124"/>
      <c r="AM39" s="19"/>
      <c r="AN39" s="19"/>
    </row>
    <row r="40" spans="1:40" x14ac:dyDescent="0.3">
      <c r="A40" s="19"/>
      <c r="B40" s="400">
        <v>16</v>
      </c>
      <c r="C40" s="401">
        <f t="shared" si="2"/>
        <v>21</v>
      </c>
      <c r="D40" s="186" t="s">
        <v>827</v>
      </c>
      <c r="E40" s="364"/>
      <c r="F40" s="191" t="s">
        <v>122</v>
      </c>
      <c r="G40" s="191" t="s">
        <v>115</v>
      </c>
      <c r="H40" s="195"/>
      <c r="I40" s="193">
        <v>1</v>
      </c>
      <c r="J40" s="193">
        <v>0</v>
      </c>
      <c r="K40" s="402">
        <f t="shared" si="6"/>
        <v>0</v>
      </c>
      <c r="L40" s="185">
        <v>58952.67</v>
      </c>
      <c r="M40" s="408"/>
      <c r="N40" s="409"/>
      <c r="O40" s="408"/>
      <c r="P40" s="408"/>
      <c r="Q40" s="408"/>
      <c r="R40" s="380">
        <f t="shared" si="3"/>
        <v>58952.67</v>
      </c>
      <c r="S40" s="403">
        <f t="shared" si="4"/>
        <v>1</v>
      </c>
      <c r="T40" s="405" t="str">
        <f t="shared" si="5"/>
        <v/>
      </c>
      <c r="U40" s="124"/>
      <c r="V40" s="124"/>
      <c r="W40" s="124"/>
      <c r="X40" s="124"/>
      <c r="Y40" s="124"/>
      <c r="Z40" s="124"/>
      <c r="AA40" s="124"/>
      <c r="AB40" s="124"/>
      <c r="AC40" s="124"/>
      <c r="AD40" s="124"/>
      <c r="AE40" s="124"/>
      <c r="AF40" s="124"/>
      <c r="AG40" s="124"/>
      <c r="AH40" s="124"/>
      <c r="AI40" s="124"/>
      <c r="AJ40" s="124"/>
      <c r="AK40" s="124"/>
      <c r="AL40" s="124"/>
      <c r="AM40" s="19"/>
      <c r="AN40" s="19"/>
    </row>
    <row r="41" spans="1:40" x14ac:dyDescent="0.3">
      <c r="A41" s="19"/>
      <c r="B41" s="400">
        <v>17</v>
      </c>
      <c r="C41" s="401">
        <f t="shared" si="2"/>
        <v>21</v>
      </c>
      <c r="D41" s="190" t="s">
        <v>828</v>
      </c>
      <c r="E41" s="364"/>
      <c r="F41" s="191" t="s">
        <v>122</v>
      </c>
      <c r="G41" s="191" t="s">
        <v>126</v>
      </c>
      <c r="H41" s="195"/>
      <c r="I41" s="193">
        <v>1</v>
      </c>
      <c r="J41" s="193">
        <v>0</v>
      </c>
      <c r="K41" s="402">
        <f t="shared" si="6"/>
        <v>0</v>
      </c>
      <c r="L41" s="185">
        <v>0</v>
      </c>
      <c r="M41" s="408"/>
      <c r="N41" s="409"/>
      <c r="O41" s="408"/>
      <c r="P41" s="408"/>
      <c r="Q41" s="408"/>
      <c r="R41" s="380">
        <f t="shared" si="3"/>
        <v>0</v>
      </c>
      <c r="S41" s="403">
        <f t="shared" si="4"/>
        <v>1</v>
      </c>
      <c r="T41" s="405" t="str">
        <f t="shared" si="5"/>
        <v/>
      </c>
      <c r="U41" s="124"/>
      <c r="V41" s="124"/>
      <c r="W41" s="124"/>
      <c r="X41" s="124"/>
      <c r="Y41" s="124"/>
      <c r="Z41" s="124"/>
      <c r="AA41" s="124"/>
      <c r="AB41" s="124"/>
      <c r="AC41" s="124"/>
      <c r="AD41" s="124"/>
      <c r="AE41" s="124"/>
      <c r="AF41" s="124"/>
      <c r="AG41" s="124"/>
      <c r="AH41" s="124"/>
      <c r="AI41" s="124"/>
      <c r="AJ41" s="124"/>
      <c r="AK41" s="124"/>
      <c r="AL41" s="124"/>
      <c r="AM41" s="19"/>
      <c r="AN41" s="19"/>
    </row>
    <row r="42" spans="1:40" x14ac:dyDescent="0.3">
      <c r="A42" s="19"/>
      <c r="B42" s="400">
        <v>18</v>
      </c>
      <c r="C42" s="401">
        <f t="shared" si="2"/>
        <v>21</v>
      </c>
      <c r="D42" s="256" t="s">
        <v>885</v>
      </c>
      <c r="E42" s="364"/>
      <c r="F42" s="191" t="s">
        <v>122</v>
      </c>
      <c r="G42" s="191" t="s">
        <v>126</v>
      </c>
      <c r="H42" s="195"/>
      <c r="I42" s="193">
        <v>1</v>
      </c>
      <c r="J42" s="193">
        <v>0.44</v>
      </c>
      <c r="K42" s="402">
        <f t="shared" si="6"/>
        <v>0.44</v>
      </c>
      <c r="L42" s="185">
        <f>535434.96-Q42</f>
        <v>498485.00999999995</v>
      </c>
      <c r="M42" s="408"/>
      <c r="N42" s="409"/>
      <c r="O42" s="408"/>
      <c r="P42" s="408"/>
      <c r="Q42" s="194">
        <v>36949.949999999997</v>
      </c>
      <c r="R42" s="380">
        <f t="shared" si="3"/>
        <v>535434.96</v>
      </c>
      <c r="S42" s="403">
        <f t="shared" si="4"/>
        <v>1</v>
      </c>
      <c r="T42" s="405" t="str">
        <f t="shared" si="5"/>
        <v/>
      </c>
      <c r="U42" s="124"/>
      <c r="V42" s="124"/>
      <c r="W42" s="124"/>
      <c r="X42" s="124"/>
      <c r="Y42" s="124"/>
      <c r="Z42" s="124"/>
      <c r="AA42" s="124"/>
      <c r="AB42" s="124"/>
      <c r="AC42" s="124"/>
      <c r="AD42" s="124"/>
      <c r="AE42" s="124"/>
      <c r="AF42" s="124"/>
      <c r="AG42" s="124"/>
      <c r="AH42" s="124"/>
      <c r="AI42" s="124"/>
      <c r="AJ42" s="124"/>
      <c r="AK42" s="124"/>
      <c r="AL42" s="124"/>
      <c r="AM42" s="19"/>
      <c r="AN42" s="19"/>
    </row>
    <row r="43" spans="1:40" x14ac:dyDescent="0.3">
      <c r="A43" s="19"/>
      <c r="B43" s="400">
        <v>19</v>
      </c>
      <c r="C43" s="401">
        <f t="shared" si="2"/>
        <v>21</v>
      </c>
      <c r="D43" s="190" t="s">
        <v>829</v>
      </c>
      <c r="E43" s="364"/>
      <c r="F43" s="191" t="s">
        <v>122</v>
      </c>
      <c r="G43" s="191" t="s">
        <v>115</v>
      </c>
      <c r="H43" s="195"/>
      <c r="I43" s="193">
        <v>1</v>
      </c>
      <c r="J43" s="193">
        <v>1</v>
      </c>
      <c r="K43" s="402">
        <f t="shared" si="6"/>
        <v>1</v>
      </c>
      <c r="L43" s="185">
        <v>316771.93</v>
      </c>
      <c r="M43" s="408"/>
      <c r="N43" s="409"/>
      <c r="O43" s="408"/>
      <c r="P43" s="408"/>
      <c r="Q43" s="408"/>
      <c r="R43" s="380">
        <f t="shared" si="3"/>
        <v>316771.93</v>
      </c>
      <c r="S43" s="403">
        <f t="shared" si="4"/>
        <v>1</v>
      </c>
      <c r="T43" s="405" t="str">
        <f t="shared" si="5"/>
        <v/>
      </c>
      <c r="U43" s="124"/>
      <c r="V43" s="124"/>
      <c r="W43" s="124"/>
      <c r="X43" s="124"/>
      <c r="Y43" s="124"/>
      <c r="Z43" s="124"/>
      <c r="AA43" s="124"/>
      <c r="AB43" s="124"/>
      <c r="AC43" s="124"/>
      <c r="AD43" s="124"/>
      <c r="AE43" s="124"/>
      <c r="AF43" s="124"/>
      <c r="AG43" s="124"/>
      <c r="AH43" s="124"/>
      <c r="AI43" s="124"/>
      <c r="AJ43" s="124"/>
      <c r="AK43" s="124"/>
      <c r="AL43" s="124"/>
      <c r="AM43" s="19"/>
      <c r="AN43" s="19"/>
    </row>
    <row r="44" spans="1:40" x14ac:dyDescent="0.3">
      <c r="A44" s="19"/>
      <c r="B44" s="400">
        <v>20</v>
      </c>
      <c r="C44" s="401">
        <f t="shared" si="2"/>
        <v>21</v>
      </c>
      <c r="D44" s="186" t="s">
        <v>830</v>
      </c>
      <c r="E44" s="364"/>
      <c r="F44" s="191" t="s">
        <v>122</v>
      </c>
      <c r="G44" s="191" t="s">
        <v>125</v>
      </c>
      <c r="H44" s="195"/>
      <c r="I44" s="193">
        <v>1</v>
      </c>
      <c r="J44" s="193">
        <v>1.2E-2</v>
      </c>
      <c r="K44" s="402">
        <f t="shared" si="6"/>
        <v>1.2E-2</v>
      </c>
      <c r="L44" s="185">
        <v>59607</v>
      </c>
      <c r="M44" s="408"/>
      <c r="N44" s="409"/>
      <c r="O44" s="408"/>
      <c r="P44" s="408"/>
      <c r="Q44" s="408"/>
      <c r="R44" s="380">
        <f t="shared" si="3"/>
        <v>59607</v>
      </c>
      <c r="S44" s="403">
        <f t="shared" si="4"/>
        <v>1</v>
      </c>
      <c r="T44" s="405" t="str">
        <f t="shared" si="5"/>
        <v/>
      </c>
      <c r="U44" s="124"/>
      <c r="V44" s="124"/>
      <c r="W44" s="124"/>
      <c r="X44" s="124"/>
      <c r="Y44" s="124"/>
      <c r="Z44" s="124"/>
      <c r="AA44" s="124"/>
      <c r="AB44" s="124"/>
      <c r="AC44" s="124"/>
      <c r="AD44" s="124"/>
      <c r="AE44" s="124"/>
      <c r="AF44" s="124"/>
      <c r="AG44" s="124"/>
      <c r="AH44" s="124"/>
      <c r="AI44" s="124"/>
      <c r="AJ44" s="124"/>
      <c r="AK44" s="124"/>
      <c r="AL44" s="124"/>
      <c r="AM44" s="19"/>
      <c r="AN44" s="19"/>
    </row>
    <row r="45" spans="1:40" x14ac:dyDescent="0.3">
      <c r="A45" s="19"/>
      <c r="B45" s="156">
        <v>21</v>
      </c>
      <c r="C45" s="240" t="str">
        <f t="shared" si="2"/>
        <v/>
      </c>
      <c r="D45" s="364"/>
      <c r="E45" s="364"/>
      <c r="F45" s="188"/>
      <c r="G45" s="188"/>
      <c r="H45" s="195"/>
      <c r="I45" s="410"/>
      <c r="J45" s="410"/>
      <c r="K45" s="241" t="str">
        <f t="shared" si="6"/>
        <v/>
      </c>
      <c r="L45" s="189"/>
      <c r="M45" s="408"/>
      <c r="N45" s="409"/>
      <c r="O45" s="408"/>
      <c r="P45" s="408"/>
      <c r="Q45" s="408"/>
      <c r="R45" s="237">
        <f t="shared" si="3"/>
        <v>0</v>
      </c>
      <c r="S45" s="403" t="str">
        <f t="shared" si="4"/>
        <v/>
      </c>
      <c r="T45" s="405" t="str">
        <f t="shared" si="5"/>
        <v/>
      </c>
      <c r="U45" s="124"/>
      <c r="V45" s="124"/>
      <c r="W45" s="124"/>
      <c r="X45" s="124"/>
      <c r="Y45" s="124"/>
      <c r="Z45" s="124"/>
      <c r="AA45" s="124"/>
      <c r="AB45" s="124"/>
      <c r="AC45" s="124"/>
      <c r="AD45" s="124"/>
      <c r="AE45" s="124"/>
      <c r="AF45" s="124"/>
      <c r="AG45" s="124"/>
      <c r="AH45" s="124"/>
      <c r="AI45" s="124"/>
      <c r="AJ45" s="124"/>
      <c r="AK45" s="124"/>
      <c r="AL45" s="124"/>
      <c r="AM45" s="19"/>
      <c r="AN45" s="19"/>
    </row>
    <row r="46" spans="1:40" x14ac:dyDescent="0.3">
      <c r="A46" s="19"/>
      <c r="B46" s="156">
        <v>22</v>
      </c>
      <c r="C46" s="240" t="str">
        <f t="shared" si="2"/>
        <v/>
      </c>
      <c r="D46" s="364"/>
      <c r="E46" s="364"/>
      <c r="F46" s="188"/>
      <c r="G46" s="188"/>
      <c r="H46" s="195"/>
      <c r="I46" s="410"/>
      <c r="J46" s="410"/>
      <c r="K46" s="241" t="str">
        <f t="shared" si="6"/>
        <v/>
      </c>
      <c r="L46" s="189"/>
      <c r="M46" s="408"/>
      <c r="N46" s="409"/>
      <c r="O46" s="408"/>
      <c r="P46" s="408"/>
      <c r="Q46" s="408"/>
      <c r="R46" s="237">
        <f t="shared" si="3"/>
        <v>0</v>
      </c>
      <c r="S46" s="403" t="str">
        <f t="shared" si="4"/>
        <v/>
      </c>
      <c r="T46" s="405" t="str">
        <f t="shared" si="5"/>
        <v/>
      </c>
      <c r="U46" s="124"/>
      <c r="V46" s="124"/>
      <c r="W46" s="124"/>
      <c r="X46" s="124"/>
      <c r="Y46" s="124"/>
      <c r="Z46" s="124"/>
      <c r="AA46" s="124"/>
      <c r="AB46" s="124"/>
      <c r="AC46" s="124"/>
      <c r="AD46" s="124"/>
      <c r="AE46" s="124"/>
      <c r="AF46" s="124"/>
      <c r="AG46" s="124"/>
      <c r="AH46" s="124"/>
      <c r="AI46" s="124"/>
      <c r="AJ46" s="124"/>
      <c r="AK46" s="124"/>
      <c r="AL46" s="124"/>
      <c r="AM46" s="19"/>
      <c r="AN46" s="19"/>
    </row>
    <row r="47" spans="1:40" x14ac:dyDescent="0.3">
      <c r="A47" s="19"/>
      <c r="B47" s="156">
        <v>23</v>
      </c>
      <c r="C47" s="240" t="str">
        <f t="shared" si="2"/>
        <v/>
      </c>
      <c r="D47" s="364"/>
      <c r="E47" s="364"/>
      <c r="F47" s="188"/>
      <c r="G47" s="188"/>
      <c r="H47" s="195"/>
      <c r="I47" s="410"/>
      <c r="J47" s="410"/>
      <c r="K47" s="241" t="str">
        <f t="shared" si="6"/>
        <v/>
      </c>
      <c r="L47" s="189"/>
      <c r="M47" s="408"/>
      <c r="N47" s="409"/>
      <c r="O47" s="408"/>
      <c r="P47" s="408"/>
      <c r="Q47" s="408"/>
      <c r="R47" s="237">
        <f t="shared" si="3"/>
        <v>0</v>
      </c>
      <c r="S47" s="403" t="str">
        <f t="shared" si="4"/>
        <v/>
      </c>
      <c r="T47" s="405" t="str">
        <f t="shared" si="5"/>
        <v/>
      </c>
      <c r="U47" s="124"/>
      <c r="V47" s="124"/>
      <c r="W47" s="124"/>
      <c r="X47" s="124"/>
      <c r="Y47" s="124"/>
      <c r="Z47" s="124"/>
      <c r="AA47" s="124"/>
      <c r="AB47" s="124"/>
      <c r="AC47" s="124"/>
      <c r="AD47" s="124"/>
      <c r="AE47" s="124"/>
      <c r="AF47" s="124"/>
      <c r="AG47" s="124"/>
      <c r="AH47" s="124"/>
      <c r="AI47" s="124"/>
      <c r="AJ47" s="124"/>
      <c r="AK47" s="124"/>
      <c r="AL47" s="124"/>
      <c r="AM47" s="19"/>
      <c r="AN47" s="19"/>
    </row>
    <row r="48" spans="1:40" x14ac:dyDescent="0.3">
      <c r="A48" s="19"/>
      <c r="B48" s="156">
        <v>24</v>
      </c>
      <c r="C48" s="240" t="str">
        <f t="shared" si="2"/>
        <v/>
      </c>
      <c r="D48" s="364"/>
      <c r="E48" s="364"/>
      <c r="F48" s="188"/>
      <c r="G48" s="188"/>
      <c r="H48" s="195"/>
      <c r="I48" s="410"/>
      <c r="J48" s="410"/>
      <c r="K48" s="241" t="str">
        <f t="shared" si="6"/>
        <v/>
      </c>
      <c r="L48" s="189"/>
      <c r="M48" s="408"/>
      <c r="N48" s="409"/>
      <c r="O48" s="408"/>
      <c r="P48" s="408"/>
      <c r="Q48" s="408"/>
      <c r="R48" s="237">
        <f t="shared" si="3"/>
        <v>0</v>
      </c>
      <c r="S48" s="403" t="str">
        <f t="shared" si="4"/>
        <v/>
      </c>
      <c r="T48" s="405" t="str">
        <f t="shared" si="5"/>
        <v/>
      </c>
      <c r="U48" s="124"/>
      <c r="V48" s="124"/>
      <c r="W48" s="124"/>
      <c r="X48" s="124"/>
      <c r="Y48" s="124"/>
      <c r="Z48" s="124"/>
      <c r="AA48" s="124"/>
      <c r="AB48" s="124"/>
      <c r="AC48" s="124"/>
      <c r="AD48" s="124"/>
      <c r="AE48" s="124"/>
      <c r="AF48" s="124"/>
      <c r="AG48" s="124"/>
      <c r="AH48" s="124"/>
      <c r="AI48" s="124"/>
      <c r="AJ48" s="124"/>
      <c r="AK48" s="124"/>
      <c r="AL48" s="124"/>
      <c r="AM48" s="19"/>
      <c r="AN48" s="19"/>
    </row>
    <row r="49" spans="1:40" x14ac:dyDescent="0.3">
      <c r="A49" s="19"/>
      <c r="B49" s="156">
        <v>25</v>
      </c>
      <c r="C49" s="240" t="str">
        <f t="shared" si="2"/>
        <v/>
      </c>
      <c r="D49" s="364"/>
      <c r="E49" s="364"/>
      <c r="F49" s="188"/>
      <c r="G49" s="188"/>
      <c r="H49" s="195"/>
      <c r="I49" s="410"/>
      <c r="J49" s="410"/>
      <c r="K49" s="241" t="str">
        <f t="shared" si="6"/>
        <v/>
      </c>
      <c r="L49" s="189"/>
      <c r="M49" s="408"/>
      <c r="N49" s="409"/>
      <c r="O49" s="408"/>
      <c r="P49" s="408"/>
      <c r="Q49" s="408"/>
      <c r="R49" s="237">
        <f t="shared" si="3"/>
        <v>0</v>
      </c>
      <c r="S49" s="403" t="str">
        <f t="shared" si="4"/>
        <v/>
      </c>
      <c r="T49" s="405" t="str">
        <f t="shared" si="5"/>
        <v/>
      </c>
      <c r="U49" s="124"/>
      <c r="V49" s="124"/>
      <c r="W49" s="124"/>
      <c r="X49" s="124"/>
      <c r="Y49" s="124"/>
      <c r="Z49" s="124"/>
      <c r="AA49" s="124"/>
      <c r="AB49" s="124"/>
      <c r="AC49" s="124"/>
      <c r="AD49" s="124"/>
      <c r="AE49" s="124"/>
      <c r="AF49" s="124"/>
      <c r="AG49" s="124"/>
      <c r="AH49" s="124"/>
      <c r="AI49" s="124"/>
      <c r="AJ49" s="124"/>
      <c r="AK49" s="124"/>
      <c r="AL49" s="124"/>
      <c r="AM49" s="19"/>
      <c r="AN49" s="19"/>
    </row>
    <row r="50" spans="1:40" x14ac:dyDescent="0.3">
      <c r="A50" s="19"/>
      <c r="B50" s="156">
        <v>26</v>
      </c>
      <c r="C50" s="240" t="str">
        <f t="shared" si="2"/>
        <v/>
      </c>
      <c r="D50" s="364"/>
      <c r="E50" s="364"/>
      <c r="F50" s="188"/>
      <c r="G50" s="188"/>
      <c r="H50" s="195"/>
      <c r="I50" s="410"/>
      <c r="J50" s="410"/>
      <c r="K50" s="241" t="str">
        <f t="shared" si="6"/>
        <v/>
      </c>
      <c r="L50" s="189"/>
      <c r="M50" s="408"/>
      <c r="N50" s="409"/>
      <c r="O50" s="408"/>
      <c r="P50" s="408"/>
      <c r="Q50" s="408"/>
      <c r="R50" s="237">
        <f t="shared" si="3"/>
        <v>0</v>
      </c>
      <c r="S50" s="403" t="str">
        <f t="shared" si="4"/>
        <v/>
      </c>
      <c r="T50" s="405" t="str">
        <f t="shared" si="5"/>
        <v/>
      </c>
      <c r="U50" s="124"/>
      <c r="V50" s="124"/>
      <c r="W50" s="124"/>
      <c r="X50" s="124"/>
      <c r="Y50" s="124"/>
      <c r="Z50" s="124"/>
      <c r="AA50" s="124"/>
      <c r="AB50" s="124"/>
      <c r="AC50" s="124"/>
      <c r="AD50" s="124"/>
      <c r="AE50" s="124"/>
      <c r="AF50" s="124"/>
      <c r="AG50" s="124"/>
      <c r="AH50" s="124"/>
      <c r="AI50" s="124"/>
      <c r="AJ50" s="124"/>
      <c r="AK50" s="124"/>
      <c r="AL50" s="124"/>
      <c r="AM50" s="19"/>
      <c r="AN50" s="19"/>
    </row>
    <row r="51" spans="1:40" x14ac:dyDescent="0.3">
      <c r="A51" s="19"/>
      <c r="B51" s="156">
        <v>27</v>
      </c>
      <c r="C51" s="240" t="str">
        <f t="shared" si="2"/>
        <v/>
      </c>
      <c r="D51" s="364"/>
      <c r="E51" s="364"/>
      <c r="F51" s="188"/>
      <c r="G51" s="188"/>
      <c r="H51" s="195"/>
      <c r="I51" s="410"/>
      <c r="J51" s="410"/>
      <c r="K51" s="241" t="str">
        <f t="shared" si="6"/>
        <v/>
      </c>
      <c r="L51" s="189"/>
      <c r="M51" s="408"/>
      <c r="N51" s="409"/>
      <c r="O51" s="408"/>
      <c r="P51" s="408"/>
      <c r="Q51" s="408"/>
      <c r="R51" s="237">
        <f t="shared" si="3"/>
        <v>0</v>
      </c>
      <c r="S51" s="403" t="str">
        <f t="shared" si="4"/>
        <v/>
      </c>
      <c r="T51" s="405" t="str">
        <f t="shared" si="5"/>
        <v/>
      </c>
      <c r="U51" s="124"/>
      <c r="V51" s="124"/>
      <c r="W51" s="124"/>
      <c r="X51" s="124"/>
      <c r="Y51" s="124"/>
      <c r="Z51" s="124"/>
      <c r="AA51" s="124"/>
      <c r="AB51" s="124"/>
      <c r="AC51" s="124"/>
      <c r="AD51" s="124"/>
      <c r="AE51" s="124"/>
      <c r="AF51" s="124"/>
      <c r="AG51" s="124"/>
      <c r="AH51" s="124"/>
      <c r="AI51" s="124"/>
      <c r="AJ51" s="124"/>
      <c r="AK51" s="124"/>
      <c r="AL51" s="124"/>
      <c r="AM51" s="19"/>
      <c r="AN51" s="19"/>
    </row>
    <row r="52" spans="1:40" x14ac:dyDescent="0.3">
      <c r="A52" s="19"/>
      <c r="B52" s="156">
        <v>28</v>
      </c>
      <c r="C52" s="240" t="str">
        <f t="shared" si="2"/>
        <v/>
      </c>
      <c r="D52" s="364"/>
      <c r="E52" s="364"/>
      <c r="F52" s="188"/>
      <c r="G52" s="188"/>
      <c r="H52" s="195"/>
      <c r="I52" s="410"/>
      <c r="J52" s="410"/>
      <c r="K52" s="241" t="str">
        <f t="shared" si="6"/>
        <v/>
      </c>
      <c r="L52" s="189"/>
      <c r="M52" s="408"/>
      <c r="N52" s="409"/>
      <c r="O52" s="408"/>
      <c r="P52" s="408"/>
      <c r="Q52" s="408"/>
      <c r="R52" s="237">
        <f t="shared" si="3"/>
        <v>0</v>
      </c>
      <c r="S52" s="403" t="str">
        <f t="shared" si="4"/>
        <v/>
      </c>
      <c r="T52" s="405" t="str">
        <f t="shared" si="5"/>
        <v/>
      </c>
      <c r="U52" s="124"/>
      <c r="V52" s="124"/>
      <c r="W52" s="124"/>
      <c r="X52" s="124"/>
      <c r="Y52" s="124"/>
      <c r="Z52" s="124"/>
      <c r="AA52" s="124"/>
      <c r="AB52" s="124"/>
      <c r="AC52" s="124"/>
      <c r="AD52" s="124"/>
      <c r="AE52" s="124"/>
      <c r="AF52" s="124"/>
      <c r="AG52" s="124"/>
      <c r="AH52" s="124"/>
      <c r="AI52" s="124"/>
      <c r="AJ52" s="124"/>
      <c r="AK52" s="124"/>
      <c r="AL52" s="124"/>
      <c r="AM52" s="19"/>
      <c r="AN52" s="19"/>
    </row>
    <row r="53" spans="1:40" x14ac:dyDescent="0.3">
      <c r="A53" s="19"/>
      <c r="B53" s="156">
        <v>29</v>
      </c>
      <c r="C53" s="240" t="str">
        <f t="shared" si="2"/>
        <v/>
      </c>
      <c r="D53" s="364"/>
      <c r="E53" s="364"/>
      <c r="F53" s="188"/>
      <c r="G53" s="188"/>
      <c r="H53" s="195"/>
      <c r="I53" s="410"/>
      <c r="J53" s="410"/>
      <c r="K53" s="241" t="str">
        <f t="shared" si="6"/>
        <v/>
      </c>
      <c r="L53" s="189"/>
      <c r="M53" s="408"/>
      <c r="N53" s="409"/>
      <c r="O53" s="408"/>
      <c r="P53" s="408"/>
      <c r="Q53" s="408"/>
      <c r="R53" s="237">
        <f t="shared" si="3"/>
        <v>0</v>
      </c>
      <c r="S53" s="403" t="str">
        <f t="shared" si="4"/>
        <v/>
      </c>
      <c r="T53" s="405" t="str">
        <f t="shared" si="5"/>
        <v/>
      </c>
      <c r="U53" s="124"/>
      <c r="V53" s="124"/>
      <c r="W53" s="124"/>
      <c r="X53" s="124"/>
      <c r="Y53" s="124"/>
      <c r="Z53" s="124"/>
      <c r="AA53" s="124"/>
      <c r="AB53" s="124"/>
      <c r="AC53" s="124"/>
      <c r="AD53" s="124"/>
      <c r="AE53" s="124"/>
      <c r="AF53" s="124"/>
      <c r="AG53" s="124"/>
      <c r="AH53" s="124"/>
      <c r="AI53" s="124"/>
      <c r="AJ53" s="124"/>
      <c r="AK53" s="124"/>
      <c r="AL53" s="124"/>
      <c r="AM53" s="19"/>
      <c r="AN53" s="19"/>
    </row>
    <row r="54" spans="1:40" x14ac:dyDescent="0.3">
      <c r="A54" s="19"/>
      <c r="B54" s="156">
        <v>30</v>
      </c>
      <c r="C54" s="240" t="str">
        <f t="shared" si="2"/>
        <v/>
      </c>
      <c r="D54" s="364"/>
      <c r="E54" s="364"/>
      <c r="F54" s="188"/>
      <c r="G54" s="188"/>
      <c r="H54" s="195"/>
      <c r="I54" s="410"/>
      <c r="J54" s="410"/>
      <c r="K54" s="241" t="str">
        <f t="shared" si="6"/>
        <v/>
      </c>
      <c r="L54" s="189"/>
      <c r="M54" s="408"/>
      <c r="N54" s="409"/>
      <c r="O54" s="408"/>
      <c r="P54" s="408"/>
      <c r="Q54" s="408"/>
      <c r="R54" s="237">
        <f t="shared" si="3"/>
        <v>0</v>
      </c>
      <c r="S54" s="403" t="str">
        <f t="shared" si="4"/>
        <v/>
      </c>
      <c r="T54" s="405" t="str">
        <f t="shared" si="5"/>
        <v/>
      </c>
      <c r="U54" s="124"/>
      <c r="V54" s="124"/>
      <c r="W54" s="124"/>
      <c r="X54" s="124"/>
      <c r="Y54" s="124"/>
      <c r="Z54" s="124"/>
      <c r="AA54" s="124"/>
      <c r="AB54" s="124"/>
      <c r="AC54" s="124"/>
      <c r="AD54" s="124"/>
      <c r="AE54" s="124"/>
      <c r="AF54" s="124"/>
      <c r="AG54" s="124"/>
      <c r="AH54" s="124"/>
      <c r="AI54" s="124"/>
      <c r="AJ54" s="124"/>
      <c r="AK54" s="124"/>
      <c r="AL54" s="124"/>
      <c r="AM54" s="19"/>
      <c r="AN54" s="19"/>
    </row>
    <row r="55" spans="1:40" x14ac:dyDescent="0.3">
      <c r="A55" s="19"/>
      <c r="B55" s="156">
        <v>31</v>
      </c>
      <c r="C55" s="240" t="str">
        <f t="shared" si="2"/>
        <v/>
      </c>
      <c r="D55" s="364"/>
      <c r="E55" s="364"/>
      <c r="F55" s="188"/>
      <c r="G55" s="188"/>
      <c r="H55" s="195"/>
      <c r="I55" s="410"/>
      <c r="J55" s="410"/>
      <c r="K55" s="241" t="str">
        <f t="shared" si="6"/>
        <v/>
      </c>
      <c r="L55" s="189"/>
      <c r="M55" s="408"/>
      <c r="N55" s="409"/>
      <c r="O55" s="408"/>
      <c r="P55" s="408"/>
      <c r="Q55" s="408"/>
      <c r="R55" s="237">
        <f t="shared" si="3"/>
        <v>0</v>
      </c>
      <c r="S55" s="403" t="str">
        <f t="shared" si="4"/>
        <v/>
      </c>
      <c r="T55" s="405" t="str">
        <f t="shared" si="5"/>
        <v/>
      </c>
      <c r="U55" s="124"/>
      <c r="V55" s="124"/>
      <c r="W55" s="124"/>
      <c r="X55" s="124"/>
      <c r="Y55" s="124"/>
      <c r="Z55" s="124"/>
      <c r="AA55" s="124"/>
      <c r="AB55" s="124"/>
      <c r="AC55" s="124"/>
      <c r="AD55" s="124"/>
      <c r="AE55" s="124"/>
      <c r="AF55" s="124"/>
      <c r="AG55" s="124"/>
      <c r="AH55" s="124"/>
      <c r="AI55" s="124"/>
      <c r="AJ55" s="124"/>
      <c r="AK55" s="124"/>
      <c r="AL55" s="124"/>
      <c r="AM55" s="19"/>
      <c r="AN55" s="19"/>
    </row>
    <row r="56" spans="1:40" x14ac:dyDescent="0.3">
      <c r="A56" s="19"/>
      <c r="B56" s="156">
        <v>32</v>
      </c>
      <c r="C56" s="240" t="str">
        <f t="shared" si="2"/>
        <v/>
      </c>
      <c r="D56" s="364"/>
      <c r="E56" s="364"/>
      <c r="F56" s="188"/>
      <c r="G56" s="188"/>
      <c r="H56" s="195"/>
      <c r="I56" s="410"/>
      <c r="J56" s="410"/>
      <c r="K56" s="241" t="str">
        <f t="shared" si="6"/>
        <v/>
      </c>
      <c r="L56" s="189"/>
      <c r="M56" s="408"/>
      <c r="N56" s="409"/>
      <c r="O56" s="408"/>
      <c r="P56" s="408"/>
      <c r="Q56" s="408"/>
      <c r="R56" s="237">
        <f t="shared" si="3"/>
        <v>0</v>
      </c>
      <c r="S56" s="403" t="str">
        <f t="shared" si="4"/>
        <v/>
      </c>
      <c r="T56" s="405" t="str">
        <f t="shared" si="5"/>
        <v/>
      </c>
      <c r="U56" s="124"/>
      <c r="V56" s="124"/>
      <c r="W56" s="124"/>
      <c r="X56" s="124"/>
      <c r="Y56" s="124"/>
      <c r="Z56" s="124"/>
      <c r="AA56" s="124"/>
      <c r="AB56" s="124"/>
      <c r="AC56" s="124"/>
      <c r="AD56" s="124"/>
      <c r="AE56" s="124"/>
      <c r="AF56" s="124"/>
      <c r="AG56" s="124"/>
      <c r="AH56" s="124"/>
      <c r="AI56" s="124"/>
      <c r="AJ56" s="124"/>
      <c r="AK56" s="124"/>
      <c r="AL56" s="124"/>
      <c r="AM56" s="19"/>
      <c r="AN56" s="19"/>
    </row>
    <row r="57" spans="1:40" x14ac:dyDescent="0.3">
      <c r="A57" s="19"/>
      <c r="B57" s="156">
        <v>33</v>
      </c>
      <c r="C57" s="240" t="str">
        <f t="shared" si="2"/>
        <v/>
      </c>
      <c r="D57" s="364"/>
      <c r="E57" s="364"/>
      <c r="F57" s="188"/>
      <c r="G57" s="188"/>
      <c r="H57" s="195"/>
      <c r="I57" s="410"/>
      <c r="J57" s="410"/>
      <c r="K57" s="241" t="str">
        <f t="shared" si="6"/>
        <v/>
      </c>
      <c r="L57" s="189"/>
      <c r="M57" s="408"/>
      <c r="N57" s="409"/>
      <c r="O57" s="408"/>
      <c r="P57" s="408"/>
      <c r="Q57" s="408"/>
      <c r="R57" s="237">
        <f t="shared" si="3"/>
        <v>0</v>
      </c>
      <c r="S57" s="403" t="str">
        <f t="shared" si="4"/>
        <v/>
      </c>
      <c r="T57" s="405" t="str">
        <f t="shared" si="5"/>
        <v/>
      </c>
      <c r="U57" s="124"/>
      <c r="V57" s="124"/>
      <c r="W57" s="124"/>
      <c r="X57" s="124"/>
      <c r="Y57" s="124"/>
      <c r="Z57" s="124"/>
      <c r="AA57" s="124"/>
      <c r="AB57" s="124"/>
      <c r="AC57" s="124"/>
      <c r="AD57" s="124"/>
      <c r="AE57" s="124"/>
      <c r="AF57" s="124"/>
      <c r="AG57" s="124"/>
      <c r="AH57" s="124"/>
      <c r="AI57" s="124"/>
      <c r="AJ57" s="124"/>
      <c r="AK57" s="124"/>
      <c r="AL57" s="124"/>
      <c r="AM57" s="19"/>
      <c r="AN57" s="19"/>
    </row>
    <row r="58" spans="1:40" x14ac:dyDescent="0.3">
      <c r="A58" s="19"/>
      <c r="B58" s="156">
        <v>34</v>
      </c>
      <c r="C58" s="240" t="str">
        <f t="shared" si="2"/>
        <v/>
      </c>
      <c r="D58" s="364"/>
      <c r="E58" s="364"/>
      <c r="F58" s="188"/>
      <c r="G58" s="188"/>
      <c r="H58" s="195"/>
      <c r="I58" s="410"/>
      <c r="J58" s="410"/>
      <c r="K58" s="241" t="str">
        <f t="shared" si="6"/>
        <v/>
      </c>
      <c r="L58" s="189"/>
      <c r="M58" s="408"/>
      <c r="N58" s="409"/>
      <c r="O58" s="408"/>
      <c r="P58" s="408"/>
      <c r="Q58" s="408"/>
      <c r="R58" s="237">
        <f t="shared" si="3"/>
        <v>0</v>
      </c>
      <c r="S58" s="403" t="str">
        <f t="shared" si="4"/>
        <v/>
      </c>
      <c r="T58" s="405" t="str">
        <f t="shared" si="5"/>
        <v/>
      </c>
      <c r="U58" s="124"/>
      <c r="V58" s="124"/>
      <c r="W58" s="124"/>
      <c r="X58" s="124"/>
      <c r="Y58" s="124"/>
      <c r="Z58" s="124"/>
      <c r="AA58" s="124"/>
      <c r="AB58" s="124"/>
      <c r="AC58" s="124"/>
      <c r="AD58" s="124"/>
      <c r="AE58" s="124"/>
      <c r="AF58" s="124"/>
      <c r="AG58" s="124"/>
      <c r="AH58" s="124"/>
      <c r="AI58" s="124"/>
      <c r="AJ58" s="124"/>
      <c r="AK58" s="124"/>
      <c r="AL58" s="124"/>
      <c r="AM58" s="19"/>
      <c r="AN58" s="19"/>
    </row>
    <row r="59" spans="1:40" x14ac:dyDescent="0.3">
      <c r="A59" s="19"/>
      <c r="B59" s="156">
        <v>35</v>
      </c>
      <c r="C59" s="240" t="str">
        <f t="shared" si="2"/>
        <v/>
      </c>
      <c r="D59" s="364"/>
      <c r="E59" s="364"/>
      <c r="F59" s="188"/>
      <c r="G59" s="188"/>
      <c r="H59" s="195"/>
      <c r="I59" s="410"/>
      <c r="J59" s="410"/>
      <c r="K59" s="241" t="str">
        <f t="shared" si="6"/>
        <v/>
      </c>
      <c r="L59" s="189"/>
      <c r="M59" s="408"/>
      <c r="N59" s="409"/>
      <c r="O59" s="408"/>
      <c r="P59" s="408"/>
      <c r="Q59" s="408"/>
      <c r="R59" s="237">
        <f t="shared" si="3"/>
        <v>0</v>
      </c>
      <c r="S59" s="403" t="str">
        <f t="shared" si="4"/>
        <v/>
      </c>
      <c r="T59" s="405" t="str">
        <f t="shared" si="5"/>
        <v/>
      </c>
      <c r="U59" s="124"/>
      <c r="V59" s="124"/>
      <c r="W59" s="124"/>
      <c r="X59" s="124"/>
      <c r="Y59" s="124"/>
      <c r="Z59" s="124"/>
      <c r="AA59" s="124"/>
      <c r="AB59" s="124"/>
      <c r="AC59" s="124"/>
      <c r="AD59" s="124"/>
      <c r="AE59" s="124"/>
      <c r="AF59" s="124"/>
      <c r="AG59" s="124"/>
      <c r="AH59" s="124"/>
      <c r="AI59" s="124"/>
      <c r="AJ59" s="124"/>
      <c r="AK59" s="124"/>
      <c r="AL59" s="124"/>
      <c r="AM59" s="19"/>
      <c r="AN59" s="19"/>
    </row>
    <row r="60" spans="1:40" x14ac:dyDescent="0.3">
      <c r="A60" s="19"/>
      <c r="B60" s="156">
        <v>36</v>
      </c>
      <c r="C60" s="240" t="str">
        <f t="shared" si="2"/>
        <v/>
      </c>
      <c r="D60" s="364"/>
      <c r="E60" s="364"/>
      <c r="F60" s="188"/>
      <c r="G60" s="188"/>
      <c r="H60" s="195"/>
      <c r="I60" s="410"/>
      <c r="J60" s="410"/>
      <c r="K60" s="241" t="str">
        <f t="shared" si="6"/>
        <v/>
      </c>
      <c r="L60" s="189"/>
      <c r="M60" s="408"/>
      <c r="N60" s="409"/>
      <c r="O60" s="408"/>
      <c r="P60" s="408"/>
      <c r="Q60" s="408"/>
      <c r="R60" s="237">
        <f t="shared" si="3"/>
        <v>0</v>
      </c>
      <c r="S60" s="403" t="str">
        <f t="shared" si="4"/>
        <v/>
      </c>
      <c r="T60" s="405" t="str">
        <f t="shared" si="5"/>
        <v/>
      </c>
      <c r="U60" s="124"/>
      <c r="V60" s="124"/>
      <c r="W60" s="124"/>
      <c r="X60" s="124"/>
      <c r="Y60" s="124"/>
      <c r="Z60" s="124"/>
      <c r="AA60" s="124"/>
      <c r="AB60" s="124"/>
      <c r="AC60" s="124"/>
      <c r="AD60" s="124"/>
      <c r="AE60" s="124"/>
      <c r="AF60" s="124"/>
      <c r="AG60" s="124"/>
      <c r="AH60" s="124"/>
      <c r="AI60" s="124"/>
      <c r="AJ60" s="124"/>
      <c r="AK60" s="124"/>
      <c r="AL60" s="124"/>
      <c r="AM60" s="19"/>
      <c r="AN60" s="19"/>
    </row>
    <row r="61" spans="1:40" x14ac:dyDescent="0.3">
      <c r="A61" s="19"/>
      <c r="B61" s="156">
        <v>37</v>
      </c>
      <c r="C61" s="240" t="str">
        <f t="shared" si="2"/>
        <v/>
      </c>
      <c r="D61" s="364"/>
      <c r="E61" s="364"/>
      <c r="F61" s="188"/>
      <c r="G61" s="188"/>
      <c r="H61" s="195"/>
      <c r="I61" s="410"/>
      <c r="J61" s="410"/>
      <c r="K61" s="241" t="str">
        <f t="shared" si="6"/>
        <v/>
      </c>
      <c r="L61" s="189"/>
      <c r="M61" s="408"/>
      <c r="N61" s="409"/>
      <c r="O61" s="408"/>
      <c r="P61" s="408"/>
      <c r="Q61" s="408"/>
      <c r="R61" s="237">
        <f t="shared" si="3"/>
        <v>0</v>
      </c>
      <c r="S61" s="403" t="str">
        <f t="shared" si="4"/>
        <v/>
      </c>
      <c r="T61" s="405" t="str">
        <f t="shared" si="5"/>
        <v/>
      </c>
      <c r="U61" s="124"/>
      <c r="V61" s="124"/>
      <c r="W61" s="124"/>
      <c r="X61" s="124"/>
      <c r="Y61" s="124"/>
      <c r="Z61" s="124"/>
      <c r="AA61" s="124"/>
      <c r="AB61" s="124"/>
      <c r="AC61" s="124"/>
      <c r="AD61" s="124"/>
      <c r="AE61" s="124"/>
      <c r="AF61" s="124"/>
      <c r="AG61" s="124"/>
      <c r="AH61" s="124"/>
      <c r="AI61" s="124"/>
      <c r="AJ61" s="124"/>
      <c r="AK61" s="124"/>
      <c r="AL61" s="124"/>
      <c r="AM61" s="19"/>
      <c r="AN61" s="19"/>
    </row>
    <row r="62" spans="1:40" x14ac:dyDescent="0.3">
      <c r="A62" s="19"/>
      <c r="B62" s="156">
        <v>38</v>
      </c>
      <c r="C62" s="240" t="str">
        <f t="shared" si="2"/>
        <v/>
      </c>
      <c r="D62" s="364"/>
      <c r="E62" s="364"/>
      <c r="F62" s="188"/>
      <c r="G62" s="188"/>
      <c r="H62" s="195"/>
      <c r="I62" s="410"/>
      <c r="J62" s="410"/>
      <c r="K62" s="241" t="str">
        <f t="shared" si="6"/>
        <v/>
      </c>
      <c r="L62" s="189"/>
      <c r="M62" s="408"/>
      <c r="N62" s="409"/>
      <c r="O62" s="408"/>
      <c r="P62" s="408"/>
      <c r="Q62" s="408"/>
      <c r="R62" s="237">
        <f t="shared" si="3"/>
        <v>0</v>
      </c>
      <c r="S62" s="403" t="str">
        <f t="shared" si="4"/>
        <v/>
      </c>
      <c r="T62" s="405" t="str">
        <f t="shared" si="5"/>
        <v/>
      </c>
      <c r="U62" s="124"/>
      <c r="V62" s="124"/>
      <c r="W62" s="124"/>
      <c r="X62" s="124"/>
      <c r="Y62" s="124"/>
      <c r="Z62" s="124"/>
      <c r="AA62" s="124"/>
      <c r="AB62" s="124"/>
      <c r="AC62" s="124"/>
      <c r="AD62" s="124"/>
      <c r="AE62" s="124"/>
      <c r="AF62" s="124"/>
      <c r="AG62" s="124"/>
      <c r="AH62" s="124"/>
      <c r="AI62" s="124"/>
      <c r="AJ62" s="124"/>
      <c r="AK62" s="124"/>
      <c r="AL62" s="124"/>
      <c r="AM62" s="19"/>
      <c r="AN62" s="19"/>
    </row>
    <row r="63" spans="1:40" x14ac:dyDescent="0.3">
      <c r="A63" s="19"/>
      <c r="B63" s="156">
        <v>39</v>
      </c>
      <c r="C63" s="240" t="str">
        <f t="shared" si="2"/>
        <v/>
      </c>
      <c r="D63" s="364"/>
      <c r="E63" s="364"/>
      <c r="F63" s="188"/>
      <c r="G63" s="188"/>
      <c r="H63" s="195"/>
      <c r="I63" s="410"/>
      <c r="J63" s="410"/>
      <c r="K63" s="241" t="str">
        <f t="shared" si="6"/>
        <v/>
      </c>
      <c r="L63" s="189"/>
      <c r="M63" s="408"/>
      <c r="N63" s="409"/>
      <c r="O63" s="408"/>
      <c r="P63" s="408"/>
      <c r="Q63" s="408"/>
      <c r="R63" s="237">
        <f t="shared" si="3"/>
        <v>0</v>
      </c>
      <c r="S63" s="403" t="str">
        <f t="shared" si="4"/>
        <v/>
      </c>
      <c r="T63" s="405" t="str">
        <f t="shared" si="5"/>
        <v/>
      </c>
      <c r="U63" s="124"/>
      <c r="V63" s="124"/>
      <c r="W63" s="124"/>
      <c r="X63" s="124"/>
      <c r="Y63" s="124"/>
      <c r="Z63" s="124"/>
      <c r="AA63" s="124"/>
      <c r="AB63" s="124"/>
      <c r="AC63" s="124"/>
      <c r="AD63" s="124"/>
      <c r="AE63" s="124"/>
      <c r="AF63" s="124"/>
      <c r="AG63" s="124"/>
      <c r="AH63" s="124"/>
      <c r="AI63" s="124"/>
      <c r="AJ63" s="124"/>
      <c r="AK63" s="124"/>
      <c r="AL63" s="124"/>
      <c r="AM63" s="19"/>
      <c r="AN63" s="19"/>
    </row>
    <row r="64" spans="1:40" x14ac:dyDescent="0.3">
      <c r="A64" s="19"/>
      <c r="B64" s="156">
        <v>40</v>
      </c>
      <c r="C64" s="240" t="str">
        <f t="shared" si="2"/>
        <v/>
      </c>
      <c r="D64" s="364"/>
      <c r="E64" s="364"/>
      <c r="F64" s="188"/>
      <c r="G64" s="188"/>
      <c r="H64" s="195"/>
      <c r="I64" s="410"/>
      <c r="J64" s="410"/>
      <c r="K64" s="241" t="str">
        <f t="shared" si="6"/>
        <v/>
      </c>
      <c r="L64" s="189"/>
      <c r="M64" s="408"/>
      <c r="N64" s="409"/>
      <c r="O64" s="408"/>
      <c r="P64" s="408"/>
      <c r="Q64" s="408"/>
      <c r="R64" s="237">
        <f t="shared" si="3"/>
        <v>0</v>
      </c>
      <c r="S64" s="403" t="str">
        <f t="shared" si="4"/>
        <v/>
      </c>
      <c r="T64" s="405" t="str">
        <f t="shared" si="5"/>
        <v/>
      </c>
      <c r="U64" s="124"/>
      <c r="V64" s="124"/>
      <c r="W64" s="124"/>
      <c r="X64" s="124"/>
      <c r="Y64" s="124"/>
      <c r="Z64" s="124"/>
      <c r="AA64" s="124"/>
      <c r="AB64" s="124"/>
      <c r="AC64" s="124"/>
      <c r="AD64" s="124"/>
      <c r="AE64" s="124"/>
      <c r="AF64" s="124"/>
      <c r="AG64" s="124"/>
      <c r="AH64" s="124"/>
      <c r="AI64" s="124"/>
      <c r="AJ64" s="124"/>
      <c r="AK64" s="124"/>
      <c r="AL64" s="124"/>
      <c r="AM64" s="19"/>
      <c r="AN64" s="19"/>
    </row>
    <row r="65" spans="1:40" x14ac:dyDescent="0.3">
      <c r="A65" s="19"/>
      <c r="B65" s="156">
        <v>41</v>
      </c>
      <c r="C65" s="240" t="str">
        <f t="shared" si="2"/>
        <v/>
      </c>
      <c r="D65" s="364"/>
      <c r="E65" s="364"/>
      <c r="F65" s="188"/>
      <c r="G65" s="188"/>
      <c r="H65" s="195"/>
      <c r="I65" s="410"/>
      <c r="J65" s="410"/>
      <c r="K65" s="241" t="str">
        <f t="shared" si="6"/>
        <v/>
      </c>
      <c r="L65" s="189"/>
      <c r="M65" s="408"/>
      <c r="N65" s="409"/>
      <c r="O65" s="408"/>
      <c r="P65" s="408"/>
      <c r="Q65" s="408"/>
      <c r="R65" s="237">
        <f t="shared" si="3"/>
        <v>0</v>
      </c>
      <c r="S65" s="403" t="str">
        <f t="shared" si="4"/>
        <v/>
      </c>
      <c r="T65" s="405" t="str">
        <f t="shared" si="5"/>
        <v/>
      </c>
      <c r="U65" s="124"/>
      <c r="V65" s="124"/>
      <c r="W65" s="124"/>
      <c r="X65" s="124"/>
      <c r="Y65" s="124"/>
      <c r="Z65" s="124"/>
      <c r="AA65" s="124"/>
      <c r="AB65" s="124"/>
      <c r="AC65" s="124"/>
      <c r="AD65" s="124"/>
      <c r="AE65" s="124"/>
      <c r="AF65" s="124"/>
      <c r="AG65" s="124"/>
      <c r="AH65" s="124"/>
      <c r="AI65" s="124"/>
      <c r="AJ65" s="124"/>
      <c r="AK65" s="124"/>
      <c r="AL65" s="124"/>
      <c r="AM65" s="19"/>
      <c r="AN65" s="19"/>
    </row>
    <row r="66" spans="1:40" x14ac:dyDescent="0.3">
      <c r="A66" s="19"/>
      <c r="B66" s="156">
        <v>42</v>
      </c>
      <c r="C66" s="240" t="str">
        <f t="shared" ref="C66:C97" si="7">IF(AND(NOT(COUNTA(D66:J66)),(NOT(COUNTA(L66:Q66)))),"",VLOOKUP($D$9,Info_County_Code,2,FALSE))</f>
        <v/>
      </c>
      <c r="D66" s="364"/>
      <c r="E66" s="364"/>
      <c r="F66" s="188"/>
      <c r="G66" s="188"/>
      <c r="H66" s="195"/>
      <c r="I66" s="410"/>
      <c r="J66" s="410"/>
      <c r="K66" s="241" t="str">
        <f t="shared" si="6"/>
        <v/>
      </c>
      <c r="L66" s="189"/>
      <c r="M66" s="408"/>
      <c r="N66" s="409"/>
      <c r="O66" s="408"/>
      <c r="P66" s="408"/>
      <c r="Q66" s="408"/>
      <c r="R66" s="237">
        <f t="shared" ref="R66:R97" si="8">SUM(L66:Q66)</f>
        <v>0</v>
      </c>
      <c r="S66" s="403" t="str">
        <f t="shared" ref="S66:S97" si="9">IF(OR(G66="Combined Summary",F66="Standalone"),(SUMIF(D$34:D$133,D66,I$34:I$133)),"")</f>
        <v/>
      </c>
      <c r="T66" s="405" t="str">
        <f t="shared" ref="T66:T97" si="10">IF(AND(F66="Standalone",NOT(S66=1)),"ERROR",IF(AND(G66="Combined Summary",NOT(S66=1)),"ERROR",""))</f>
        <v/>
      </c>
      <c r="U66" s="124"/>
      <c r="V66" s="124"/>
      <c r="W66" s="124"/>
      <c r="X66" s="124"/>
      <c r="Y66" s="124"/>
      <c r="Z66" s="124"/>
      <c r="AA66" s="124"/>
      <c r="AB66" s="124"/>
      <c r="AC66" s="124"/>
      <c r="AD66" s="124"/>
      <c r="AE66" s="124"/>
      <c r="AF66" s="124"/>
      <c r="AG66" s="124"/>
      <c r="AH66" s="124"/>
      <c r="AI66" s="124"/>
      <c r="AJ66" s="124"/>
      <c r="AK66" s="124"/>
      <c r="AL66" s="124"/>
      <c r="AM66" s="19"/>
      <c r="AN66" s="19"/>
    </row>
    <row r="67" spans="1:40" x14ac:dyDescent="0.3">
      <c r="A67" s="19"/>
      <c r="B67" s="156">
        <v>43</v>
      </c>
      <c r="C67" s="240" t="str">
        <f t="shared" si="7"/>
        <v/>
      </c>
      <c r="D67" s="364"/>
      <c r="E67" s="364"/>
      <c r="F67" s="188"/>
      <c r="G67" s="188"/>
      <c r="H67" s="195"/>
      <c r="I67" s="410"/>
      <c r="J67" s="410"/>
      <c r="K67" s="241" t="str">
        <f t="shared" si="6"/>
        <v/>
      </c>
      <c r="L67" s="189"/>
      <c r="M67" s="408"/>
      <c r="N67" s="409"/>
      <c r="O67" s="408"/>
      <c r="P67" s="408"/>
      <c r="Q67" s="408"/>
      <c r="R67" s="237">
        <f t="shared" si="8"/>
        <v>0</v>
      </c>
      <c r="S67" s="403" t="str">
        <f t="shared" si="9"/>
        <v/>
      </c>
      <c r="T67" s="405" t="str">
        <f t="shared" si="10"/>
        <v/>
      </c>
      <c r="U67" s="124"/>
      <c r="V67" s="124"/>
      <c r="W67" s="124"/>
      <c r="X67" s="124"/>
      <c r="Y67" s="124"/>
      <c r="Z67" s="124"/>
      <c r="AA67" s="124"/>
      <c r="AB67" s="124"/>
      <c r="AC67" s="124"/>
      <c r="AD67" s="124"/>
      <c r="AE67" s="124"/>
      <c r="AF67" s="124"/>
      <c r="AG67" s="124"/>
      <c r="AH67" s="124"/>
      <c r="AI67" s="124"/>
      <c r="AJ67" s="124"/>
      <c r="AK67" s="124"/>
      <c r="AL67" s="124"/>
      <c r="AM67" s="19"/>
      <c r="AN67" s="19"/>
    </row>
    <row r="68" spans="1:40" x14ac:dyDescent="0.3">
      <c r="A68" s="19"/>
      <c r="B68" s="156">
        <v>44</v>
      </c>
      <c r="C68" s="240" t="str">
        <f t="shared" si="7"/>
        <v/>
      </c>
      <c r="D68" s="364"/>
      <c r="E68" s="364"/>
      <c r="F68" s="188"/>
      <c r="G68" s="188"/>
      <c r="H68" s="195"/>
      <c r="I68" s="410"/>
      <c r="J68" s="410"/>
      <c r="K68" s="241" t="str">
        <f t="shared" si="6"/>
        <v/>
      </c>
      <c r="L68" s="189"/>
      <c r="M68" s="408"/>
      <c r="N68" s="409"/>
      <c r="O68" s="408"/>
      <c r="P68" s="408"/>
      <c r="Q68" s="408"/>
      <c r="R68" s="237">
        <f t="shared" si="8"/>
        <v>0</v>
      </c>
      <c r="S68" s="403" t="str">
        <f t="shared" si="9"/>
        <v/>
      </c>
      <c r="T68" s="405" t="str">
        <f t="shared" si="10"/>
        <v/>
      </c>
      <c r="U68" s="124"/>
      <c r="V68" s="124"/>
      <c r="W68" s="124"/>
      <c r="X68" s="124"/>
      <c r="Y68" s="124"/>
      <c r="Z68" s="124"/>
      <c r="AA68" s="124"/>
      <c r="AB68" s="124"/>
      <c r="AC68" s="124"/>
      <c r="AD68" s="124"/>
      <c r="AE68" s="124"/>
      <c r="AF68" s="124"/>
      <c r="AG68" s="124"/>
      <c r="AH68" s="124"/>
      <c r="AI68" s="124"/>
      <c r="AJ68" s="124"/>
      <c r="AK68" s="124"/>
      <c r="AL68" s="124"/>
      <c r="AM68" s="19"/>
      <c r="AN68" s="19"/>
    </row>
    <row r="69" spans="1:40" x14ac:dyDescent="0.3">
      <c r="A69" s="19"/>
      <c r="B69" s="156">
        <v>45</v>
      </c>
      <c r="C69" s="240" t="str">
        <f t="shared" si="7"/>
        <v/>
      </c>
      <c r="D69" s="364"/>
      <c r="E69" s="364"/>
      <c r="F69" s="188"/>
      <c r="G69" s="188"/>
      <c r="H69" s="195"/>
      <c r="I69" s="410"/>
      <c r="J69" s="410"/>
      <c r="K69" s="241" t="str">
        <f t="shared" si="6"/>
        <v/>
      </c>
      <c r="L69" s="189"/>
      <c r="M69" s="408"/>
      <c r="N69" s="409"/>
      <c r="O69" s="408"/>
      <c r="P69" s="408"/>
      <c r="Q69" s="408"/>
      <c r="R69" s="237">
        <f t="shared" si="8"/>
        <v>0</v>
      </c>
      <c r="S69" s="403" t="str">
        <f t="shared" si="9"/>
        <v/>
      </c>
      <c r="T69" s="405" t="str">
        <f t="shared" si="10"/>
        <v/>
      </c>
      <c r="U69" s="124"/>
      <c r="V69" s="124"/>
      <c r="W69" s="124"/>
      <c r="X69" s="124"/>
      <c r="Y69" s="124"/>
      <c r="Z69" s="124"/>
      <c r="AA69" s="124"/>
      <c r="AB69" s="124"/>
      <c r="AC69" s="124"/>
      <c r="AD69" s="124"/>
      <c r="AE69" s="124"/>
      <c r="AF69" s="124"/>
      <c r="AG69" s="124"/>
      <c r="AH69" s="124"/>
      <c r="AI69" s="124"/>
      <c r="AJ69" s="124"/>
      <c r="AK69" s="124"/>
      <c r="AL69" s="124"/>
      <c r="AM69" s="19"/>
      <c r="AN69" s="19"/>
    </row>
    <row r="70" spans="1:40" x14ac:dyDescent="0.3">
      <c r="A70" s="19"/>
      <c r="B70" s="156">
        <v>46</v>
      </c>
      <c r="C70" s="240" t="str">
        <f t="shared" si="7"/>
        <v/>
      </c>
      <c r="D70" s="364"/>
      <c r="E70" s="364"/>
      <c r="F70" s="188"/>
      <c r="G70" s="188"/>
      <c r="H70" s="195"/>
      <c r="I70" s="410"/>
      <c r="J70" s="410"/>
      <c r="K70" s="241" t="str">
        <f t="shared" si="6"/>
        <v/>
      </c>
      <c r="L70" s="189"/>
      <c r="M70" s="408"/>
      <c r="N70" s="409"/>
      <c r="O70" s="408"/>
      <c r="P70" s="408"/>
      <c r="Q70" s="408"/>
      <c r="R70" s="237">
        <f t="shared" si="8"/>
        <v>0</v>
      </c>
      <c r="S70" s="403" t="str">
        <f t="shared" si="9"/>
        <v/>
      </c>
      <c r="T70" s="405" t="str">
        <f t="shared" si="10"/>
        <v/>
      </c>
      <c r="U70" s="124"/>
      <c r="V70" s="124"/>
      <c r="W70" s="124"/>
      <c r="X70" s="124"/>
      <c r="Y70" s="124"/>
      <c r="Z70" s="124"/>
      <c r="AA70" s="124"/>
      <c r="AB70" s="124"/>
      <c r="AC70" s="124"/>
      <c r="AD70" s="124"/>
      <c r="AE70" s="124"/>
      <c r="AF70" s="124"/>
      <c r="AG70" s="124"/>
      <c r="AH70" s="124"/>
      <c r="AI70" s="124"/>
      <c r="AJ70" s="124"/>
      <c r="AK70" s="124"/>
      <c r="AL70" s="124"/>
      <c r="AM70" s="19"/>
      <c r="AN70" s="19"/>
    </row>
    <row r="71" spans="1:40" x14ac:dyDescent="0.3">
      <c r="A71" s="19"/>
      <c r="B71" s="156">
        <v>47</v>
      </c>
      <c r="C71" s="240" t="str">
        <f t="shared" si="7"/>
        <v/>
      </c>
      <c r="D71" s="364"/>
      <c r="E71" s="364"/>
      <c r="F71" s="188"/>
      <c r="G71" s="188"/>
      <c r="H71" s="195"/>
      <c r="I71" s="410"/>
      <c r="J71" s="410"/>
      <c r="K71" s="241" t="str">
        <f t="shared" si="6"/>
        <v/>
      </c>
      <c r="L71" s="189"/>
      <c r="M71" s="408"/>
      <c r="N71" s="409"/>
      <c r="O71" s="408"/>
      <c r="P71" s="408"/>
      <c r="Q71" s="408"/>
      <c r="R71" s="237">
        <f t="shared" si="8"/>
        <v>0</v>
      </c>
      <c r="S71" s="403" t="str">
        <f t="shared" si="9"/>
        <v/>
      </c>
      <c r="T71" s="405" t="str">
        <f t="shared" si="10"/>
        <v/>
      </c>
      <c r="U71" s="124"/>
      <c r="V71" s="124"/>
      <c r="W71" s="124"/>
      <c r="X71" s="124"/>
      <c r="Y71" s="124"/>
      <c r="Z71" s="124"/>
      <c r="AA71" s="124"/>
      <c r="AB71" s="124"/>
      <c r="AC71" s="124"/>
      <c r="AD71" s="124"/>
      <c r="AE71" s="124"/>
      <c r="AF71" s="124"/>
      <c r="AG71" s="124"/>
      <c r="AH71" s="124"/>
      <c r="AI71" s="124"/>
      <c r="AJ71" s="124"/>
      <c r="AK71" s="124"/>
      <c r="AL71" s="124"/>
      <c r="AM71" s="19"/>
      <c r="AN71" s="19"/>
    </row>
    <row r="72" spans="1:40" x14ac:dyDescent="0.3">
      <c r="A72" s="19"/>
      <c r="B72" s="156">
        <v>48</v>
      </c>
      <c r="C72" s="240" t="str">
        <f t="shared" si="7"/>
        <v/>
      </c>
      <c r="D72" s="364"/>
      <c r="E72" s="364"/>
      <c r="F72" s="188"/>
      <c r="G72" s="188"/>
      <c r="H72" s="195"/>
      <c r="I72" s="410"/>
      <c r="J72" s="410"/>
      <c r="K72" s="241" t="str">
        <f t="shared" si="6"/>
        <v/>
      </c>
      <c r="L72" s="189"/>
      <c r="M72" s="408"/>
      <c r="N72" s="409"/>
      <c r="O72" s="408"/>
      <c r="P72" s="408"/>
      <c r="Q72" s="408"/>
      <c r="R72" s="237">
        <f t="shared" si="8"/>
        <v>0</v>
      </c>
      <c r="S72" s="403" t="str">
        <f t="shared" si="9"/>
        <v/>
      </c>
      <c r="T72" s="405" t="str">
        <f t="shared" si="10"/>
        <v/>
      </c>
      <c r="U72" s="124"/>
      <c r="V72" s="124"/>
      <c r="W72" s="124"/>
      <c r="X72" s="124"/>
      <c r="Y72" s="124"/>
      <c r="Z72" s="124"/>
      <c r="AA72" s="124"/>
      <c r="AB72" s="124"/>
      <c r="AC72" s="124"/>
      <c r="AD72" s="124"/>
      <c r="AE72" s="124"/>
      <c r="AF72" s="124"/>
      <c r="AG72" s="124"/>
      <c r="AH72" s="124"/>
      <c r="AI72" s="124"/>
      <c r="AJ72" s="124"/>
      <c r="AK72" s="124"/>
      <c r="AL72" s="124"/>
      <c r="AM72" s="19"/>
      <c r="AN72" s="19"/>
    </row>
    <row r="73" spans="1:40" x14ac:dyDescent="0.3">
      <c r="A73" s="19"/>
      <c r="B73" s="156">
        <v>49</v>
      </c>
      <c r="C73" s="240" t="str">
        <f t="shared" si="7"/>
        <v/>
      </c>
      <c r="D73" s="364"/>
      <c r="E73" s="364"/>
      <c r="F73" s="188"/>
      <c r="G73" s="188"/>
      <c r="H73" s="195"/>
      <c r="I73" s="410"/>
      <c r="J73" s="410"/>
      <c r="K73" s="241" t="str">
        <f t="shared" si="6"/>
        <v/>
      </c>
      <c r="L73" s="189"/>
      <c r="M73" s="408"/>
      <c r="N73" s="409"/>
      <c r="O73" s="408"/>
      <c r="P73" s="408"/>
      <c r="Q73" s="408"/>
      <c r="R73" s="237">
        <f t="shared" si="8"/>
        <v>0</v>
      </c>
      <c r="S73" s="403" t="str">
        <f t="shared" si="9"/>
        <v/>
      </c>
      <c r="T73" s="405" t="str">
        <f t="shared" si="10"/>
        <v/>
      </c>
      <c r="U73" s="124"/>
      <c r="V73" s="124"/>
      <c r="W73" s="124"/>
      <c r="X73" s="124"/>
      <c r="Y73" s="124"/>
      <c r="Z73" s="124"/>
      <c r="AA73" s="124"/>
      <c r="AB73" s="124"/>
      <c r="AC73" s="124"/>
      <c r="AD73" s="124"/>
      <c r="AE73" s="124"/>
      <c r="AF73" s="124"/>
      <c r="AG73" s="124"/>
      <c r="AH73" s="124"/>
      <c r="AI73" s="124"/>
      <c r="AJ73" s="124"/>
      <c r="AK73" s="124"/>
      <c r="AL73" s="124"/>
      <c r="AM73" s="19"/>
      <c r="AN73" s="19"/>
    </row>
    <row r="74" spans="1:40" x14ac:dyDescent="0.3">
      <c r="A74" s="19"/>
      <c r="B74" s="156">
        <v>50</v>
      </c>
      <c r="C74" s="240" t="str">
        <f t="shared" si="7"/>
        <v/>
      </c>
      <c r="D74" s="364"/>
      <c r="E74" s="364"/>
      <c r="F74" s="188"/>
      <c r="G74" s="188"/>
      <c r="H74" s="195"/>
      <c r="I74" s="410"/>
      <c r="J74" s="410"/>
      <c r="K74" s="241" t="str">
        <f t="shared" si="6"/>
        <v/>
      </c>
      <c r="L74" s="189"/>
      <c r="M74" s="408"/>
      <c r="N74" s="409"/>
      <c r="O74" s="408"/>
      <c r="P74" s="408"/>
      <c r="Q74" s="408"/>
      <c r="R74" s="237">
        <f t="shared" si="8"/>
        <v>0</v>
      </c>
      <c r="S74" s="403" t="str">
        <f t="shared" si="9"/>
        <v/>
      </c>
      <c r="T74" s="405" t="str">
        <f t="shared" si="10"/>
        <v/>
      </c>
      <c r="U74" s="124"/>
      <c r="V74" s="124"/>
      <c r="W74" s="124"/>
      <c r="X74" s="124"/>
      <c r="Y74" s="124"/>
      <c r="Z74" s="124"/>
      <c r="AA74" s="124"/>
      <c r="AB74" s="124"/>
      <c r="AC74" s="124"/>
      <c r="AD74" s="124"/>
      <c r="AE74" s="124"/>
      <c r="AF74" s="124"/>
      <c r="AG74" s="124"/>
      <c r="AH74" s="124"/>
      <c r="AI74" s="124"/>
      <c r="AJ74" s="124"/>
      <c r="AK74" s="124"/>
      <c r="AL74" s="124"/>
      <c r="AM74" s="19"/>
      <c r="AN74" s="19"/>
    </row>
    <row r="75" spans="1:40" x14ac:dyDescent="0.3">
      <c r="A75" s="19"/>
      <c r="B75" s="156">
        <v>51</v>
      </c>
      <c r="C75" s="240" t="str">
        <f t="shared" si="7"/>
        <v/>
      </c>
      <c r="D75" s="364"/>
      <c r="E75" s="364"/>
      <c r="F75" s="188"/>
      <c r="G75" s="188"/>
      <c r="H75" s="195"/>
      <c r="I75" s="410"/>
      <c r="J75" s="410"/>
      <c r="K75" s="241" t="str">
        <f t="shared" si="6"/>
        <v/>
      </c>
      <c r="L75" s="189"/>
      <c r="M75" s="408"/>
      <c r="N75" s="409"/>
      <c r="O75" s="408"/>
      <c r="P75" s="408"/>
      <c r="Q75" s="408"/>
      <c r="R75" s="237">
        <f t="shared" si="8"/>
        <v>0</v>
      </c>
      <c r="S75" s="403" t="str">
        <f t="shared" si="9"/>
        <v/>
      </c>
      <c r="T75" s="405" t="str">
        <f t="shared" si="10"/>
        <v/>
      </c>
      <c r="U75" s="124"/>
      <c r="V75" s="124"/>
      <c r="W75" s="124"/>
      <c r="X75" s="124"/>
      <c r="Y75" s="124"/>
      <c r="Z75" s="124"/>
      <c r="AA75" s="124"/>
      <c r="AB75" s="124"/>
      <c r="AC75" s="124"/>
      <c r="AD75" s="124"/>
      <c r="AE75" s="124"/>
      <c r="AF75" s="124"/>
      <c r="AG75" s="124"/>
      <c r="AH75" s="124"/>
      <c r="AI75" s="124"/>
      <c r="AJ75" s="124"/>
      <c r="AK75" s="124"/>
      <c r="AL75" s="124"/>
      <c r="AM75" s="19"/>
      <c r="AN75" s="19"/>
    </row>
    <row r="76" spans="1:40" x14ac:dyDescent="0.3">
      <c r="A76" s="19"/>
      <c r="B76" s="156">
        <v>52</v>
      </c>
      <c r="C76" s="240" t="str">
        <f t="shared" si="7"/>
        <v/>
      </c>
      <c r="D76" s="364"/>
      <c r="E76" s="364"/>
      <c r="F76" s="188"/>
      <c r="G76" s="188"/>
      <c r="H76" s="195"/>
      <c r="I76" s="410"/>
      <c r="J76" s="410"/>
      <c r="K76" s="241" t="str">
        <f t="shared" si="6"/>
        <v/>
      </c>
      <c r="L76" s="189"/>
      <c r="M76" s="408"/>
      <c r="N76" s="409"/>
      <c r="O76" s="408"/>
      <c r="P76" s="408"/>
      <c r="Q76" s="408"/>
      <c r="R76" s="237">
        <f t="shared" si="8"/>
        <v>0</v>
      </c>
      <c r="S76" s="403" t="str">
        <f t="shared" si="9"/>
        <v/>
      </c>
      <c r="T76" s="405" t="str">
        <f t="shared" si="10"/>
        <v/>
      </c>
      <c r="U76" s="124"/>
      <c r="V76" s="124"/>
      <c r="W76" s="124"/>
      <c r="X76" s="124"/>
      <c r="Y76" s="124"/>
      <c r="Z76" s="124"/>
      <c r="AA76" s="124"/>
      <c r="AB76" s="124"/>
      <c r="AC76" s="124"/>
      <c r="AD76" s="124"/>
      <c r="AE76" s="124"/>
      <c r="AF76" s="124"/>
      <c r="AG76" s="124"/>
      <c r="AH76" s="124"/>
      <c r="AI76" s="124"/>
      <c r="AJ76" s="124"/>
      <c r="AK76" s="124"/>
      <c r="AL76" s="124"/>
      <c r="AM76" s="19"/>
      <c r="AN76" s="19"/>
    </row>
    <row r="77" spans="1:40" x14ac:dyDescent="0.3">
      <c r="A77" s="19"/>
      <c r="B77" s="156">
        <v>53</v>
      </c>
      <c r="C77" s="240" t="str">
        <f t="shared" si="7"/>
        <v/>
      </c>
      <c r="D77" s="364"/>
      <c r="E77" s="364"/>
      <c r="F77" s="188"/>
      <c r="G77" s="188"/>
      <c r="H77" s="195"/>
      <c r="I77" s="410"/>
      <c r="J77" s="410"/>
      <c r="K77" s="241" t="str">
        <f t="shared" si="6"/>
        <v/>
      </c>
      <c r="L77" s="189"/>
      <c r="M77" s="408"/>
      <c r="N77" s="409"/>
      <c r="O77" s="408"/>
      <c r="P77" s="408"/>
      <c r="Q77" s="408"/>
      <c r="R77" s="237">
        <f t="shared" si="8"/>
        <v>0</v>
      </c>
      <c r="S77" s="403" t="str">
        <f t="shared" si="9"/>
        <v/>
      </c>
      <c r="T77" s="405" t="str">
        <f t="shared" si="10"/>
        <v/>
      </c>
      <c r="U77" s="124"/>
      <c r="V77" s="124"/>
      <c r="W77" s="124"/>
      <c r="X77" s="124"/>
      <c r="Y77" s="124"/>
      <c r="Z77" s="124"/>
      <c r="AA77" s="124"/>
      <c r="AB77" s="124"/>
      <c r="AC77" s="124"/>
      <c r="AD77" s="124"/>
      <c r="AE77" s="124"/>
      <c r="AF77" s="124"/>
      <c r="AG77" s="124"/>
      <c r="AH77" s="124"/>
      <c r="AI77" s="124"/>
      <c r="AJ77" s="124"/>
      <c r="AK77" s="124"/>
      <c r="AL77" s="124"/>
      <c r="AM77" s="19"/>
      <c r="AN77" s="19"/>
    </row>
    <row r="78" spans="1:40" x14ac:dyDescent="0.3">
      <c r="A78" s="19"/>
      <c r="B78" s="156">
        <v>54</v>
      </c>
      <c r="C78" s="240" t="str">
        <f t="shared" si="7"/>
        <v/>
      </c>
      <c r="D78" s="364"/>
      <c r="E78" s="364"/>
      <c r="F78" s="188"/>
      <c r="G78" s="188"/>
      <c r="H78" s="195"/>
      <c r="I78" s="410"/>
      <c r="J78" s="410"/>
      <c r="K78" s="241" t="str">
        <f t="shared" si="6"/>
        <v/>
      </c>
      <c r="L78" s="189"/>
      <c r="M78" s="408"/>
      <c r="N78" s="409"/>
      <c r="O78" s="408"/>
      <c r="P78" s="408"/>
      <c r="Q78" s="408"/>
      <c r="R78" s="237">
        <f t="shared" si="8"/>
        <v>0</v>
      </c>
      <c r="S78" s="403" t="str">
        <f t="shared" si="9"/>
        <v/>
      </c>
      <c r="T78" s="405" t="str">
        <f t="shared" si="10"/>
        <v/>
      </c>
      <c r="U78" s="124"/>
      <c r="V78" s="124"/>
      <c r="W78" s="124"/>
      <c r="X78" s="124"/>
      <c r="Y78" s="124"/>
      <c r="Z78" s="124"/>
      <c r="AA78" s="124"/>
      <c r="AB78" s="124"/>
      <c r="AC78" s="124"/>
      <c r="AD78" s="124"/>
      <c r="AE78" s="124"/>
      <c r="AF78" s="124"/>
      <c r="AG78" s="124"/>
      <c r="AH78" s="124"/>
      <c r="AI78" s="124"/>
      <c r="AJ78" s="124"/>
      <c r="AK78" s="124"/>
      <c r="AL78" s="124"/>
      <c r="AM78" s="19"/>
      <c r="AN78" s="19"/>
    </row>
    <row r="79" spans="1:40" x14ac:dyDescent="0.3">
      <c r="A79" s="19"/>
      <c r="B79" s="156">
        <v>55</v>
      </c>
      <c r="C79" s="240" t="str">
        <f t="shared" si="7"/>
        <v/>
      </c>
      <c r="D79" s="364"/>
      <c r="E79" s="364"/>
      <c r="F79" s="188"/>
      <c r="G79" s="188"/>
      <c r="H79" s="195"/>
      <c r="I79" s="410"/>
      <c r="J79" s="410"/>
      <c r="K79" s="241" t="str">
        <f t="shared" si="6"/>
        <v/>
      </c>
      <c r="L79" s="189"/>
      <c r="M79" s="408"/>
      <c r="N79" s="409"/>
      <c r="O79" s="408"/>
      <c r="P79" s="408"/>
      <c r="Q79" s="408"/>
      <c r="R79" s="237">
        <f t="shared" si="8"/>
        <v>0</v>
      </c>
      <c r="S79" s="403" t="str">
        <f t="shared" si="9"/>
        <v/>
      </c>
      <c r="T79" s="405" t="str">
        <f t="shared" si="10"/>
        <v/>
      </c>
      <c r="U79" s="124"/>
      <c r="V79" s="124"/>
      <c r="W79" s="124"/>
      <c r="X79" s="124"/>
      <c r="Y79" s="124"/>
      <c r="Z79" s="124"/>
      <c r="AA79" s="124"/>
      <c r="AB79" s="124"/>
      <c r="AC79" s="124"/>
      <c r="AD79" s="124"/>
      <c r="AE79" s="124"/>
      <c r="AF79" s="124"/>
      <c r="AG79" s="124"/>
      <c r="AH79" s="124"/>
      <c r="AI79" s="124"/>
      <c r="AJ79" s="124"/>
      <c r="AK79" s="124"/>
      <c r="AL79" s="124"/>
      <c r="AM79" s="19"/>
      <c r="AN79" s="19"/>
    </row>
    <row r="80" spans="1:40" x14ac:dyDescent="0.3">
      <c r="A80" s="19"/>
      <c r="B80" s="156">
        <v>56</v>
      </c>
      <c r="C80" s="240" t="str">
        <f t="shared" si="7"/>
        <v/>
      </c>
      <c r="D80" s="364"/>
      <c r="E80" s="364"/>
      <c r="F80" s="188"/>
      <c r="G80" s="188"/>
      <c r="H80" s="195"/>
      <c r="I80" s="410"/>
      <c r="J80" s="410"/>
      <c r="K80" s="241" t="str">
        <f t="shared" si="6"/>
        <v/>
      </c>
      <c r="L80" s="189"/>
      <c r="M80" s="408"/>
      <c r="N80" s="409"/>
      <c r="O80" s="408"/>
      <c r="P80" s="408"/>
      <c r="Q80" s="408"/>
      <c r="R80" s="237">
        <f t="shared" si="8"/>
        <v>0</v>
      </c>
      <c r="S80" s="403" t="str">
        <f t="shared" si="9"/>
        <v/>
      </c>
      <c r="T80" s="405" t="str">
        <f t="shared" si="10"/>
        <v/>
      </c>
      <c r="U80" s="124"/>
      <c r="V80" s="124"/>
      <c r="W80" s="124"/>
      <c r="X80" s="124"/>
      <c r="Y80" s="124"/>
      <c r="Z80" s="124"/>
      <c r="AA80" s="124"/>
      <c r="AB80" s="124"/>
      <c r="AC80" s="124"/>
      <c r="AD80" s="124"/>
      <c r="AE80" s="124"/>
      <c r="AF80" s="124"/>
      <c r="AG80" s="124"/>
      <c r="AH80" s="124"/>
      <c r="AI80" s="124"/>
      <c r="AJ80" s="124"/>
      <c r="AK80" s="124"/>
      <c r="AL80" s="124"/>
      <c r="AM80" s="19"/>
      <c r="AN80" s="19"/>
    </row>
    <row r="81" spans="1:40" x14ac:dyDescent="0.3">
      <c r="A81" s="19"/>
      <c r="B81" s="156">
        <v>57</v>
      </c>
      <c r="C81" s="240" t="str">
        <f t="shared" si="7"/>
        <v/>
      </c>
      <c r="D81" s="364"/>
      <c r="E81" s="364"/>
      <c r="F81" s="188"/>
      <c r="G81" s="188"/>
      <c r="H81" s="195"/>
      <c r="I81" s="410"/>
      <c r="J81" s="410"/>
      <c r="K81" s="241" t="str">
        <f t="shared" si="6"/>
        <v/>
      </c>
      <c r="L81" s="189"/>
      <c r="M81" s="408"/>
      <c r="N81" s="409"/>
      <c r="O81" s="408"/>
      <c r="P81" s="408"/>
      <c r="Q81" s="408"/>
      <c r="R81" s="237">
        <f t="shared" si="8"/>
        <v>0</v>
      </c>
      <c r="S81" s="403" t="str">
        <f t="shared" si="9"/>
        <v/>
      </c>
      <c r="T81" s="405" t="str">
        <f t="shared" si="10"/>
        <v/>
      </c>
      <c r="U81" s="124"/>
      <c r="V81" s="124"/>
      <c r="W81" s="124"/>
      <c r="X81" s="124"/>
      <c r="Y81" s="124"/>
      <c r="Z81" s="124"/>
      <c r="AA81" s="124"/>
      <c r="AB81" s="124"/>
      <c r="AC81" s="124"/>
      <c r="AD81" s="124"/>
      <c r="AE81" s="124"/>
      <c r="AF81" s="124"/>
      <c r="AG81" s="124"/>
      <c r="AH81" s="124"/>
      <c r="AI81" s="124"/>
      <c r="AJ81" s="124"/>
      <c r="AK81" s="124"/>
      <c r="AL81" s="124"/>
      <c r="AM81" s="19"/>
      <c r="AN81" s="19"/>
    </row>
    <row r="82" spans="1:40" x14ac:dyDescent="0.3">
      <c r="A82" s="19"/>
      <c r="B82" s="156">
        <v>58</v>
      </c>
      <c r="C82" s="240" t="str">
        <f t="shared" si="7"/>
        <v/>
      </c>
      <c r="D82" s="364"/>
      <c r="E82" s="364"/>
      <c r="F82" s="188"/>
      <c r="G82" s="188"/>
      <c r="H82" s="195"/>
      <c r="I82" s="410"/>
      <c r="J82" s="410"/>
      <c r="K82" s="241" t="str">
        <f t="shared" si="6"/>
        <v/>
      </c>
      <c r="L82" s="189"/>
      <c r="M82" s="408"/>
      <c r="N82" s="409"/>
      <c r="O82" s="408"/>
      <c r="P82" s="408"/>
      <c r="Q82" s="408"/>
      <c r="R82" s="237">
        <f t="shared" si="8"/>
        <v>0</v>
      </c>
      <c r="S82" s="403" t="str">
        <f t="shared" si="9"/>
        <v/>
      </c>
      <c r="T82" s="405" t="str">
        <f t="shared" si="10"/>
        <v/>
      </c>
      <c r="U82" s="124"/>
      <c r="V82" s="124"/>
      <c r="W82" s="124"/>
      <c r="X82" s="124"/>
      <c r="Y82" s="124"/>
      <c r="Z82" s="124"/>
      <c r="AA82" s="124"/>
      <c r="AB82" s="124"/>
      <c r="AC82" s="124"/>
      <c r="AD82" s="124"/>
      <c r="AE82" s="124"/>
      <c r="AF82" s="124"/>
      <c r="AG82" s="124"/>
      <c r="AH82" s="124"/>
      <c r="AI82" s="124"/>
      <c r="AJ82" s="124"/>
      <c r="AK82" s="124"/>
      <c r="AL82" s="124"/>
      <c r="AM82" s="19"/>
      <c r="AN82" s="19"/>
    </row>
    <row r="83" spans="1:40" x14ac:dyDescent="0.3">
      <c r="A83" s="19"/>
      <c r="B83" s="156">
        <v>59</v>
      </c>
      <c r="C83" s="240" t="str">
        <f t="shared" si="7"/>
        <v/>
      </c>
      <c r="D83" s="364"/>
      <c r="E83" s="364"/>
      <c r="F83" s="188"/>
      <c r="G83" s="188"/>
      <c r="H83" s="195"/>
      <c r="I83" s="410"/>
      <c r="J83" s="410"/>
      <c r="K83" s="241" t="str">
        <f t="shared" si="6"/>
        <v/>
      </c>
      <c r="L83" s="189"/>
      <c r="M83" s="408"/>
      <c r="N83" s="409"/>
      <c r="O83" s="408"/>
      <c r="P83" s="408"/>
      <c r="Q83" s="408"/>
      <c r="R83" s="237">
        <f t="shared" si="8"/>
        <v>0</v>
      </c>
      <c r="S83" s="403" t="str">
        <f t="shared" si="9"/>
        <v/>
      </c>
      <c r="T83" s="405" t="str">
        <f t="shared" si="10"/>
        <v/>
      </c>
      <c r="U83" s="124"/>
      <c r="V83" s="124"/>
      <c r="W83" s="124"/>
      <c r="X83" s="124"/>
      <c r="Y83" s="124"/>
      <c r="Z83" s="124"/>
      <c r="AA83" s="124"/>
      <c r="AB83" s="124"/>
      <c r="AC83" s="124"/>
      <c r="AD83" s="124"/>
      <c r="AE83" s="124"/>
      <c r="AF83" s="124"/>
      <c r="AG83" s="124"/>
      <c r="AH83" s="124"/>
      <c r="AI83" s="124"/>
      <c r="AJ83" s="124"/>
      <c r="AK83" s="124"/>
      <c r="AL83" s="124"/>
      <c r="AM83" s="19"/>
      <c r="AN83" s="19"/>
    </row>
    <row r="84" spans="1:40" x14ac:dyDescent="0.3">
      <c r="A84" s="19"/>
      <c r="B84" s="156">
        <v>60</v>
      </c>
      <c r="C84" s="240" t="str">
        <f t="shared" si="7"/>
        <v/>
      </c>
      <c r="D84" s="364"/>
      <c r="E84" s="364"/>
      <c r="F84" s="188"/>
      <c r="G84" s="188"/>
      <c r="H84" s="195"/>
      <c r="I84" s="410"/>
      <c r="J84" s="410"/>
      <c r="K84" s="241" t="str">
        <f t="shared" si="6"/>
        <v/>
      </c>
      <c r="L84" s="189"/>
      <c r="M84" s="408"/>
      <c r="N84" s="409"/>
      <c r="O84" s="408"/>
      <c r="P84" s="408"/>
      <c r="Q84" s="408"/>
      <c r="R84" s="237">
        <f t="shared" si="8"/>
        <v>0</v>
      </c>
      <c r="S84" s="403" t="str">
        <f t="shared" si="9"/>
        <v/>
      </c>
      <c r="T84" s="405" t="str">
        <f t="shared" si="10"/>
        <v/>
      </c>
      <c r="U84" s="124"/>
      <c r="V84" s="124"/>
      <c r="W84" s="124"/>
      <c r="X84" s="124"/>
      <c r="Y84" s="124"/>
      <c r="Z84" s="124"/>
      <c r="AA84" s="124"/>
      <c r="AB84" s="124"/>
      <c r="AC84" s="124"/>
      <c r="AD84" s="124"/>
      <c r="AE84" s="124"/>
      <c r="AF84" s="124"/>
      <c r="AG84" s="124"/>
      <c r="AH84" s="124"/>
      <c r="AI84" s="124"/>
      <c r="AJ84" s="124"/>
      <c r="AK84" s="124"/>
      <c r="AL84" s="124"/>
      <c r="AM84" s="19"/>
      <c r="AN84" s="19"/>
    </row>
    <row r="85" spans="1:40" x14ac:dyDescent="0.3">
      <c r="A85" s="19"/>
      <c r="B85" s="156">
        <v>61</v>
      </c>
      <c r="C85" s="240" t="str">
        <f t="shared" si="7"/>
        <v/>
      </c>
      <c r="D85" s="364"/>
      <c r="E85" s="364"/>
      <c r="F85" s="188"/>
      <c r="G85" s="188"/>
      <c r="H85" s="195"/>
      <c r="I85" s="410"/>
      <c r="J85" s="410"/>
      <c r="K85" s="241" t="str">
        <f t="shared" si="6"/>
        <v/>
      </c>
      <c r="L85" s="189"/>
      <c r="M85" s="408"/>
      <c r="N85" s="409"/>
      <c r="O85" s="408"/>
      <c r="P85" s="408"/>
      <c r="Q85" s="408"/>
      <c r="R85" s="237">
        <f t="shared" si="8"/>
        <v>0</v>
      </c>
      <c r="S85" s="403" t="str">
        <f t="shared" si="9"/>
        <v/>
      </c>
      <c r="T85" s="405" t="str">
        <f t="shared" si="10"/>
        <v/>
      </c>
      <c r="U85" s="124"/>
      <c r="V85" s="124"/>
      <c r="W85" s="124"/>
      <c r="X85" s="124"/>
      <c r="Y85" s="124"/>
      <c r="Z85" s="124"/>
      <c r="AA85" s="124"/>
      <c r="AB85" s="124"/>
      <c r="AC85" s="124"/>
      <c r="AD85" s="124"/>
      <c r="AE85" s="124"/>
      <c r="AF85" s="124"/>
      <c r="AG85" s="124"/>
      <c r="AH85" s="124"/>
      <c r="AI85" s="124"/>
      <c r="AJ85" s="124"/>
      <c r="AK85" s="124"/>
      <c r="AL85" s="124"/>
      <c r="AM85" s="19"/>
      <c r="AN85" s="19"/>
    </row>
    <row r="86" spans="1:40" x14ac:dyDescent="0.3">
      <c r="A86" s="19"/>
      <c r="B86" s="156">
        <v>62</v>
      </c>
      <c r="C86" s="240" t="str">
        <f t="shared" si="7"/>
        <v/>
      </c>
      <c r="D86" s="364"/>
      <c r="E86" s="364"/>
      <c r="F86" s="188"/>
      <c r="G86" s="188"/>
      <c r="H86" s="195"/>
      <c r="I86" s="410"/>
      <c r="J86" s="410"/>
      <c r="K86" s="241" t="str">
        <f t="shared" si="6"/>
        <v/>
      </c>
      <c r="L86" s="189"/>
      <c r="M86" s="408"/>
      <c r="N86" s="409"/>
      <c r="O86" s="408"/>
      <c r="P86" s="408"/>
      <c r="Q86" s="408"/>
      <c r="R86" s="237">
        <f t="shared" si="8"/>
        <v>0</v>
      </c>
      <c r="S86" s="403" t="str">
        <f t="shared" si="9"/>
        <v/>
      </c>
      <c r="T86" s="405" t="str">
        <f t="shared" si="10"/>
        <v/>
      </c>
      <c r="U86" s="124"/>
      <c r="V86" s="124"/>
      <c r="W86" s="124"/>
      <c r="X86" s="124"/>
      <c r="Y86" s="124"/>
      <c r="Z86" s="124"/>
      <c r="AA86" s="124"/>
      <c r="AB86" s="124"/>
      <c r="AC86" s="124"/>
      <c r="AD86" s="124"/>
      <c r="AE86" s="124"/>
      <c r="AF86" s="124"/>
      <c r="AG86" s="124"/>
      <c r="AH86" s="124"/>
      <c r="AI86" s="124"/>
      <c r="AJ86" s="124"/>
      <c r="AK86" s="124"/>
      <c r="AL86" s="124"/>
      <c r="AM86" s="19"/>
      <c r="AN86" s="19"/>
    </row>
    <row r="87" spans="1:40" x14ac:dyDescent="0.3">
      <c r="A87" s="19"/>
      <c r="B87" s="156">
        <v>63</v>
      </c>
      <c r="C87" s="240" t="str">
        <f t="shared" si="7"/>
        <v/>
      </c>
      <c r="D87" s="364"/>
      <c r="E87" s="364"/>
      <c r="F87" s="188"/>
      <c r="G87" s="188"/>
      <c r="H87" s="195"/>
      <c r="I87" s="410"/>
      <c r="J87" s="410"/>
      <c r="K87" s="241" t="str">
        <f t="shared" si="6"/>
        <v/>
      </c>
      <c r="L87" s="189"/>
      <c r="M87" s="408"/>
      <c r="N87" s="409"/>
      <c r="O87" s="408"/>
      <c r="P87" s="408"/>
      <c r="Q87" s="408"/>
      <c r="R87" s="237">
        <f t="shared" si="8"/>
        <v>0</v>
      </c>
      <c r="S87" s="403" t="str">
        <f t="shared" si="9"/>
        <v/>
      </c>
      <c r="T87" s="405" t="str">
        <f t="shared" si="10"/>
        <v/>
      </c>
      <c r="U87" s="124"/>
      <c r="V87" s="124"/>
      <c r="W87" s="124"/>
      <c r="X87" s="124"/>
      <c r="Y87" s="124"/>
      <c r="Z87" s="124"/>
      <c r="AA87" s="124"/>
      <c r="AB87" s="124"/>
      <c r="AC87" s="124"/>
      <c r="AD87" s="124"/>
      <c r="AE87" s="124"/>
      <c r="AF87" s="124"/>
      <c r="AG87" s="124"/>
      <c r="AH87" s="124"/>
      <c r="AI87" s="124"/>
      <c r="AJ87" s="124"/>
      <c r="AK87" s="124"/>
      <c r="AL87" s="124"/>
      <c r="AM87" s="19"/>
      <c r="AN87" s="19"/>
    </row>
    <row r="88" spans="1:40" x14ac:dyDescent="0.3">
      <c r="A88" s="19"/>
      <c r="B88" s="156">
        <v>64</v>
      </c>
      <c r="C88" s="240" t="str">
        <f t="shared" si="7"/>
        <v/>
      </c>
      <c r="D88" s="364"/>
      <c r="E88" s="364"/>
      <c r="F88" s="188"/>
      <c r="G88" s="188"/>
      <c r="H88" s="195"/>
      <c r="I88" s="410"/>
      <c r="J88" s="410"/>
      <c r="K88" s="241" t="str">
        <f t="shared" si="6"/>
        <v/>
      </c>
      <c r="L88" s="189"/>
      <c r="M88" s="408"/>
      <c r="N88" s="409"/>
      <c r="O88" s="408"/>
      <c r="P88" s="408"/>
      <c r="Q88" s="408"/>
      <c r="R88" s="237">
        <f t="shared" si="8"/>
        <v>0</v>
      </c>
      <c r="S88" s="403" t="str">
        <f t="shared" si="9"/>
        <v/>
      </c>
      <c r="T88" s="405" t="str">
        <f t="shared" si="10"/>
        <v/>
      </c>
      <c r="U88" s="124"/>
      <c r="V88" s="124"/>
      <c r="W88" s="124"/>
      <c r="X88" s="124"/>
      <c r="Y88" s="124"/>
      <c r="Z88" s="124"/>
      <c r="AA88" s="124"/>
      <c r="AB88" s="124"/>
      <c r="AC88" s="124"/>
      <c r="AD88" s="124"/>
      <c r="AE88" s="124"/>
      <c r="AF88" s="124"/>
      <c r="AG88" s="124"/>
      <c r="AH88" s="124"/>
      <c r="AI88" s="124"/>
      <c r="AJ88" s="124"/>
      <c r="AK88" s="124"/>
      <c r="AL88" s="124"/>
      <c r="AM88" s="19"/>
      <c r="AN88" s="19"/>
    </row>
    <row r="89" spans="1:40" x14ac:dyDescent="0.3">
      <c r="A89" s="19"/>
      <c r="B89" s="156">
        <v>65</v>
      </c>
      <c r="C89" s="240" t="str">
        <f t="shared" si="7"/>
        <v/>
      </c>
      <c r="D89" s="364"/>
      <c r="E89" s="364"/>
      <c r="F89" s="188"/>
      <c r="G89" s="188"/>
      <c r="H89" s="195"/>
      <c r="I89" s="410"/>
      <c r="J89" s="410"/>
      <c r="K89" s="241" t="str">
        <f t="shared" si="6"/>
        <v/>
      </c>
      <c r="L89" s="189"/>
      <c r="M89" s="408"/>
      <c r="N89" s="409"/>
      <c r="O89" s="408"/>
      <c r="P89" s="408"/>
      <c r="Q89" s="408"/>
      <c r="R89" s="237">
        <f t="shared" si="8"/>
        <v>0</v>
      </c>
      <c r="S89" s="403" t="str">
        <f t="shared" si="9"/>
        <v/>
      </c>
      <c r="T89" s="405" t="str">
        <f t="shared" si="10"/>
        <v/>
      </c>
      <c r="U89" s="124"/>
      <c r="V89" s="124"/>
      <c r="W89" s="124"/>
      <c r="X89" s="124"/>
      <c r="Y89" s="124"/>
      <c r="Z89" s="124"/>
      <c r="AA89" s="124"/>
      <c r="AB89" s="124"/>
      <c r="AC89" s="124"/>
      <c r="AD89" s="124"/>
      <c r="AE89" s="124"/>
      <c r="AF89" s="124"/>
      <c r="AG89" s="124"/>
      <c r="AH89" s="124"/>
      <c r="AI89" s="124"/>
      <c r="AJ89" s="124"/>
      <c r="AK89" s="124"/>
      <c r="AL89" s="124"/>
      <c r="AM89" s="19"/>
      <c r="AN89" s="19"/>
    </row>
    <row r="90" spans="1:40" x14ac:dyDescent="0.3">
      <c r="A90" s="19"/>
      <c r="B90" s="156">
        <v>66</v>
      </c>
      <c r="C90" s="240" t="str">
        <f t="shared" si="7"/>
        <v/>
      </c>
      <c r="D90" s="364"/>
      <c r="E90" s="364"/>
      <c r="F90" s="188"/>
      <c r="G90" s="188"/>
      <c r="H90" s="195"/>
      <c r="I90" s="410"/>
      <c r="J90" s="410"/>
      <c r="K90" s="241" t="str">
        <f t="shared" si="6"/>
        <v/>
      </c>
      <c r="L90" s="189"/>
      <c r="M90" s="408"/>
      <c r="N90" s="409"/>
      <c r="O90" s="408"/>
      <c r="P90" s="408"/>
      <c r="Q90" s="408"/>
      <c r="R90" s="237">
        <f t="shared" si="8"/>
        <v>0</v>
      </c>
      <c r="S90" s="403" t="str">
        <f t="shared" si="9"/>
        <v/>
      </c>
      <c r="T90" s="405" t="str">
        <f t="shared" si="10"/>
        <v/>
      </c>
      <c r="U90" s="124"/>
      <c r="V90" s="124"/>
      <c r="W90" s="124"/>
      <c r="X90" s="124"/>
      <c r="Y90" s="124"/>
      <c r="Z90" s="124"/>
      <c r="AA90" s="124"/>
      <c r="AB90" s="124"/>
      <c r="AC90" s="124"/>
      <c r="AD90" s="124"/>
      <c r="AE90" s="124"/>
      <c r="AF90" s="124"/>
      <c r="AG90" s="124"/>
      <c r="AH90" s="124"/>
      <c r="AI90" s="124"/>
      <c r="AJ90" s="124"/>
      <c r="AK90" s="124"/>
      <c r="AL90" s="124"/>
      <c r="AM90" s="19"/>
      <c r="AN90" s="19"/>
    </row>
    <row r="91" spans="1:40" x14ac:dyDescent="0.3">
      <c r="A91" s="19"/>
      <c r="B91" s="156">
        <v>67</v>
      </c>
      <c r="C91" s="240" t="str">
        <f t="shared" si="7"/>
        <v/>
      </c>
      <c r="D91" s="364"/>
      <c r="E91" s="364"/>
      <c r="F91" s="188"/>
      <c r="G91" s="188"/>
      <c r="H91" s="195"/>
      <c r="I91" s="410"/>
      <c r="J91" s="410"/>
      <c r="K91" s="241" t="str">
        <f t="shared" si="6"/>
        <v/>
      </c>
      <c r="L91" s="189"/>
      <c r="M91" s="408"/>
      <c r="N91" s="409"/>
      <c r="O91" s="408"/>
      <c r="P91" s="408"/>
      <c r="Q91" s="408"/>
      <c r="R91" s="237">
        <f t="shared" si="8"/>
        <v>0</v>
      </c>
      <c r="S91" s="403" t="str">
        <f t="shared" si="9"/>
        <v/>
      </c>
      <c r="T91" s="405" t="str">
        <f t="shared" si="10"/>
        <v/>
      </c>
      <c r="U91" s="124"/>
      <c r="V91" s="124"/>
      <c r="W91" s="124"/>
      <c r="X91" s="124"/>
      <c r="Y91" s="124"/>
      <c r="Z91" s="124"/>
      <c r="AA91" s="124"/>
      <c r="AB91" s="124"/>
      <c r="AC91" s="124"/>
      <c r="AD91" s="124"/>
      <c r="AE91" s="124"/>
      <c r="AF91" s="124"/>
      <c r="AG91" s="124"/>
      <c r="AH91" s="124"/>
      <c r="AI91" s="124"/>
      <c r="AJ91" s="124"/>
      <c r="AK91" s="124"/>
      <c r="AL91" s="124"/>
      <c r="AM91" s="19"/>
      <c r="AN91" s="19"/>
    </row>
    <row r="92" spans="1:40" x14ac:dyDescent="0.3">
      <c r="A92" s="19"/>
      <c r="B92" s="156">
        <v>68</v>
      </c>
      <c r="C92" s="240" t="str">
        <f t="shared" si="7"/>
        <v/>
      </c>
      <c r="D92" s="364"/>
      <c r="E92" s="364"/>
      <c r="F92" s="188"/>
      <c r="G92" s="188"/>
      <c r="H92" s="195"/>
      <c r="I92" s="410"/>
      <c r="J92" s="410"/>
      <c r="K92" s="241" t="str">
        <f t="shared" si="6"/>
        <v/>
      </c>
      <c r="L92" s="189"/>
      <c r="M92" s="408"/>
      <c r="N92" s="409"/>
      <c r="O92" s="408"/>
      <c r="P92" s="408"/>
      <c r="Q92" s="408"/>
      <c r="R92" s="237">
        <f t="shared" si="8"/>
        <v>0</v>
      </c>
      <c r="S92" s="403" t="str">
        <f t="shared" si="9"/>
        <v/>
      </c>
      <c r="T92" s="405" t="str">
        <f t="shared" si="10"/>
        <v/>
      </c>
      <c r="U92" s="124"/>
      <c r="V92" s="124"/>
      <c r="W92" s="124"/>
      <c r="X92" s="124"/>
      <c r="Y92" s="124"/>
      <c r="Z92" s="124"/>
      <c r="AA92" s="124"/>
      <c r="AB92" s="124"/>
      <c r="AC92" s="124"/>
      <c r="AD92" s="124"/>
      <c r="AE92" s="124"/>
      <c r="AF92" s="124"/>
      <c r="AG92" s="124"/>
      <c r="AH92" s="124"/>
      <c r="AI92" s="124"/>
      <c r="AJ92" s="124"/>
      <c r="AK92" s="124"/>
      <c r="AL92" s="124"/>
      <c r="AM92" s="19"/>
      <c r="AN92" s="19"/>
    </row>
    <row r="93" spans="1:40" x14ac:dyDescent="0.3">
      <c r="A93" s="19"/>
      <c r="B93" s="156">
        <v>69</v>
      </c>
      <c r="C93" s="240" t="str">
        <f t="shared" si="7"/>
        <v/>
      </c>
      <c r="D93" s="364"/>
      <c r="E93" s="364"/>
      <c r="F93" s="188"/>
      <c r="G93" s="188"/>
      <c r="H93" s="195"/>
      <c r="I93" s="410"/>
      <c r="J93" s="410"/>
      <c r="K93" s="241" t="str">
        <f t="shared" si="6"/>
        <v/>
      </c>
      <c r="L93" s="189"/>
      <c r="M93" s="408"/>
      <c r="N93" s="409"/>
      <c r="O93" s="408"/>
      <c r="P93" s="408"/>
      <c r="Q93" s="408"/>
      <c r="R93" s="237">
        <f t="shared" si="8"/>
        <v>0</v>
      </c>
      <c r="S93" s="403" t="str">
        <f t="shared" si="9"/>
        <v/>
      </c>
      <c r="T93" s="405" t="str">
        <f t="shared" si="10"/>
        <v/>
      </c>
      <c r="U93" s="124"/>
      <c r="V93" s="124"/>
      <c r="W93" s="124"/>
      <c r="X93" s="124"/>
      <c r="Y93" s="124"/>
      <c r="Z93" s="124"/>
      <c r="AA93" s="124"/>
      <c r="AB93" s="124"/>
      <c r="AC93" s="124"/>
      <c r="AD93" s="124"/>
      <c r="AE93" s="124"/>
      <c r="AF93" s="124"/>
      <c r="AG93" s="124"/>
      <c r="AH93" s="124"/>
      <c r="AI93" s="124"/>
      <c r="AJ93" s="124"/>
      <c r="AK93" s="124"/>
      <c r="AL93" s="124"/>
      <c r="AM93" s="19"/>
      <c r="AN93" s="19"/>
    </row>
    <row r="94" spans="1:40" x14ac:dyDescent="0.3">
      <c r="A94" s="19"/>
      <c r="B94" s="156">
        <v>70</v>
      </c>
      <c r="C94" s="240" t="str">
        <f t="shared" si="7"/>
        <v/>
      </c>
      <c r="D94" s="364"/>
      <c r="E94" s="364"/>
      <c r="F94" s="188"/>
      <c r="G94" s="188"/>
      <c r="H94" s="195"/>
      <c r="I94" s="410"/>
      <c r="J94" s="410"/>
      <c r="K94" s="241" t="str">
        <f t="shared" si="6"/>
        <v/>
      </c>
      <c r="L94" s="189"/>
      <c r="M94" s="408"/>
      <c r="N94" s="409"/>
      <c r="O94" s="408"/>
      <c r="P94" s="408"/>
      <c r="Q94" s="408"/>
      <c r="R94" s="237">
        <f t="shared" si="8"/>
        <v>0</v>
      </c>
      <c r="S94" s="403" t="str">
        <f t="shared" si="9"/>
        <v/>
      </c>
      <c r="T94" s="405" t="str">
        <f t="shared" si="10"/>
        <v/>
      </c>
      <c r="U94" s="124"/>
      <c r="V94" s="124"/>
      <c r="W94" s="124"/>
      <c r="X94" s="124"/>
      <c r="Y94" s="124"/>
      <c r="Z94" s="124"/>
      <c r="AA94" s="124"/>
      <c r="AB94" s="124"/>
      <c r="AC94" s="124"/>
      <c r="AD94" s="124"/>
      <c r="AE94" s="124"/>
      <c r="AF94" s="124"/>
      <c r="AG94" s="124"/>
      <c r="AH94" s="124"/>
      <c r="AI94" s="124"/>
      <c r="AJ94" s="124"/>
      <c r="AK94" s="124"/>
      <c r="AL94" s="124"/>
      <c r="AM94" s="19"/>
      <c r="AN94" s="19"/>
    </row>
    <row r="95" spans="1:40" x14ac:dyDescent="0.3">
      <c r="A95" s="19"/>
      <c r="B95" s="156">
        <v>71</v>
      </c>
      <c r="C95" s="240" t="str">
        <f t="shared" si="7"/>
        <v/>
      </c>
      <c r="D95" s="364"/>
      <c r="E95" s="364"/>
      <c r="F95" s="188"/>
      <c r="G95" s="188"/>
      <c r="H95" s="195"/>
      <c r="I95" s="410"/>
      <c r="J95" s="410"/>
      <c r="K95" s="241" t="str">
        <f t="shared" si="6"/>
        <v/>
      </c>
      <c r="L95" s="189"/>
      <c r="M95" s="408"/>
      <c r="N95" s="409"/>
      <c r="O95" s="408"/>
      <c r="P95" s="408"/>
      <c r="Q95" s="408"/>
      <c r="R95" s="237">
        <f t="shared" si="8"/>
        <v>0</v>
      </c>
      <c r="S95" s="403" t="str">
        <f t="shared" si="9"/>
        <v/>
      </c>
      <c r="T95" s="405" t="str">
        <f t="shared" si="10"/>
        <v/>
      </c>
      <c r="U95" s="124"/>
      <c r="V95" s="124"/>
      <c r="W95" s="124"/>
      <c r="X95" s="124"/>
      <c r="Y95" s="124"/>
      <c r="Z95" s="124"/>
      <c r="AA95" s="124"/>
      <c r="AB95" s="124"/>
      <c r="AC95" s="124"/>
      <c r="AD95" s="124"/>
      <c r="AE95" s="124"/>
      <c r="AF95" s="124"/>
      <c r="AG95" s="124"/>
      <c r="AH95" s="124"/>
      <c r="AI95" s="124"/>
      <c r="AJ95" s="124"/>
      <c r="AK95" s="124"/>
      <c r="AL95" s="124"/>
      <c r="AM95" s="19"/>
      <c r="AN95" s="19"/>
    </row>
    <row r="96" spans="1:40" x14ac:dyDescent="0.3">
      <c r="A96" s="19"/>
      <c r="B96" s="156">
        <v>72</v>
      </c>
      <c r="C96" s="240" t="str">
        <f t="shared" si="7"/>
        <v/>
      </c>
      <c r="D96" s="364"/>
      <c r="E96" s="364"/>
      <c r="F96" s="188"/>
      <c r="G96" s="188"/>
      <c r="H96" s="195"/>
      <c r="I96" s="410"/>
      <c r="J96" s="410"/>
      <c r="K96" s="241" t="str">
        <f t="shared" si="6"/>
        <v/>
      </c>
      <c r="L96" s="189"/>
      <c r="M96" s="408"/>
      <c r="N96" s="409"/>
      <c r="O96" s="408"/>
      <c r="P96" s="408"/>
      <c r="Q96" s="408"/>
      <c r="R96" s="237">
        <f t="shared" si="8"/>
        <v>0</v>
      </c>
      <c r="S96" s="403" t="str">
        <f t="shared" si="9"/>
        <v/>
      </c>
      <c r="T96" s="405" t="str">
        <f t="shared" si="10"/>
        <v/>
      </c>
      <c r="U96" s="124"/>
      <c r="V96" s="124"/>
      <c r="W96" s="124"/>
      <c r="X96" s="124"/>
      <c r="Y96" s="124"/>
      <c r="Z96" s="124"/>
      <c r="AA96" s="124"/>
      <c r="AB96" s="124"/>
      <c r="AC96" s="124"/>
      <c r="AD96" s="124"/>
      <c r="AE96" s="124"/>
      <c r="AF96" s="124"/>
      <c r="AG96" s="124"/>
      <c r="AH96" s="124"/>
      <c r="AI96" s="124"/>
      <c r="AJ96" s="124"/>
      <c r="AK96" s="124"/>
      <c r="AL96" s="124"/>
      <c r="AM96" s="19"/>
      <c r="AN96" s="19"/>
    </row>
    <row r="97" spans="1:40" x14ac:dyDescent="0.3">
      <c r="A97" s="19"/>
      <c r="B97" s="156">
        <v>73</v>
      </c>
      <c r="C97" s="240" t="str">
        <f t="shared" si="7"/>
        <v/>
      </c>
      <c r="D97" s="364"/>
      <c r="E97" s="364"/>
      <c r="F97" s="188"/>
      <c r="G97" s="188"/>
      <c r="H97" s="195"/>
      <c r="I97" s="410"/>
      <c r="J97" s="410"/>
      <c r="K97" s="241" t="str">
        <f t="shared" si="6"/>
        <v/>
      </c>
      <c r="L97" s="189"/>
      <c r="M97" s="408"/>
      <c r="N97" s="409"/>
      <c r="O97" s="408"/>
      <c r="P97" s="408"/>
      <c r="Q97" s="408"/>
      <c r="R97" s="237">
        <f t="shared" si="8"/>
        <v>0</v>
      </c>
      <c r="S97" s="403" t="str">
        <f t="shared" si="9"/>
        <v/>
      </c>
      <c r="T97" s="405" t="str">
        <f t="shared" si="10"/>
        <v/>
      </c>
      <c r="U97" s="124"/>
      <c r="V97" s="124"/>
      <c r="W97" s="124"/>
      <c r="X97" s="124"/>
      <c r="Y97" s="124"/>
      <c r="Z97" s="124"/>
      <c r="AA97" s="124"/>
      <c r="AB97" s="124"/>
      <c r="AC97" s="124"/>
      <c r="AD97" s="124"/>
      <c r="AE97" s="124"/>
      <c r="AF97" s="124"/>
      <c r="AG97" s="124"/>
      <c r="AH97" s="124"/>
      <c r="AI97" s="124"/>
      <c r="AJ97" s="124"/>
      <c r="AK97" s="124"/>
      <c r="AL97" s="124"/>
      <c r="AM97" s="19"/>
      <c r="AN97" s="19"/>
    </row>
    <row r="98" spans="1:40" x14ac:dyDescent="0.3">
      <c r="A98" s="19"/>
      <c r="B98" s="156">
        <v>74</v>
      </c>
      <c r="C98" s="240" t="str">
        <f t="shared" ref="C98:C129" si="11">IF(AND(NOT(COUNTA(D98:J98)),(NOT(COUNTA(L98:Q98)))),"",VLOOKUP($D$9,Info_County_Code,2,FALSE))</f>
        <v/>
      </c>
      <c r="D98" s="364"/>
      <c r="E98" s="364"/>
      <c r="F98" s="188"/>
      <c r="G98" s="188"/>
      <c r="H98" s="195"/>
      <c r="I98" s="410"/>
      <c r="J98" s="410"/>
      <c r="K98" s="241" t="str">
        <f t="shared" si="6"/>
        <v/>
      </c>
      <c r="L98" s="189"/>
      <c r="M98" s="408"/>
      <c r="N98" s="409"/>
      <c r="O98" s="408"/>
      <c r="P98" s="408"/>
      <c r="Q98" s="408"/>
      <c r="R98" s="237">
        <f t="shared" ref="R98:R129" si="12">SUM(L98:Q98)</f>
        <v>0</v>
      </c>
      <c r="S98" s="403" t="str">
        <f t="shared" ref="S98:S133" si="13">IF(OR(G98="Combined Summary",F98="Standalone"),(SUMIF(D$34:D$133,D98,I$34:I$133)),"")</f>
        <v/>
      </c>
      <c r="T98" s="405" t="str">
        <f t="shared" ref="T98:T129" si="14">IF(AND(F98="Standalone",NOT(S98=1)),"ERROR",IF(AND(G98="Combined Summary",NOT(S98=1)),"ERROR",""))</f>
        <v/>
      </c>
      <c r="U98" s="124"/>
      <c r="V98" s="124"/>
      <c r="W98" s="124"/>
      <c r="X98" s="124"/>
      <c r="Y98" s="124"/>
      <c r="Z98" s="124"/>
      <c r="AA98" s="124"/>
      <c r="AB98" s="124"/>
      <c r="AC98" s="124"/>
      <c r="AD98" s="124"/>
      <c r="AE98" s="124"/>
      <c r="AF98" s="124"/>
      <c r="AG98" s="124"/>
      <c r="AH98" s="124"/>
      <c r="AI98" s="124"/>
      <c r="AJ98" s="124"/>
      <c r="AK98" s="124"/>
      <c r="AL98" s="124"/>
      <c r="AM98" s="19"/>
      <c r="AN98" s="19"/>
    </row>
    <row r="99" spans="1:40" x14ac:dyDescent="0.3">
      <c r="A99" s="19"/>
      <c r="B99" s="156">
        <v>75</v>
      </c>
      <c r="C99" s="240" t="str">
        <f t="shared" si="11"/>
        <v/>
      </c>
      <c r="D99" s="364"/>
      <c r="E99" s="364"/>
      <c r="F99" s="188"/>
      <c r="G99" s="188"/>
      <c r="H99" s="195"/>
      <c r="I99" s="410"/>
      <c r="J99" s="410"/>
      <c r="K99" s="241" t="str">
        <f t="shared" ref="K99:K133" si="15">IF(OR(G99="Combined Summary",F99="Standalone"),(SUMPRODUCT(--(D$34:D$133=D99),I$34:I$133,J$34:J$133)),"")</f>
        <v/>
      </c>
      <c r="L99" s="189"/>
      <c r="M99" s="408"/>
      <c r="N99" s="409"/>
      <c r="O99" s="408"/>
      <c r="P99" s="408"/>
      <c r="Q99" s="408"/>
      <c r="R99" s="237">
        <f t="shared" si="12"/>
        <v>0</v>
      </c>
      <c r="S99" s="403" t="str">
        <f t="shared" si="13"/>
        <v/>
      </c>
      <c r="T99" s="405" t="str">
        <f t="shared" si="14"/>
        <v/>
      </c>
      <c r="U99" s="124"/>
      <c r="V99" s="124"/>
      <c r="W99" s="124"/>
      <c r="X99" s="124"/>
      <c r="Y99" s="124"/>
      <c r="Z99" s="124"/>
      <c r="AA99" s="124"/>
      <c r="AB99" s="124"/>
      <c r="AC99" s="124"/>
      <c r="AD99" s="124"/>
      <c r="AE99" s="124"/>
      <c r="AF99" s="124"/>
      <c r="AG99" s="124"/>
      <c r="AH99" s="124"/>
      <c r="AI99" s="124"/>
      <c r="AJ99" s="124"/>
      <c r="AK99" s="124"/>
      <c r="AL99" s="124"/>
      <c r="AM99" s="19"/>
      <c r="AN99" s="19"/>
    </row>
    <row r="100" spans="1:40" x14ac:dyDescent="0.3">
      <c r="A100" s="19"/>
      <c r="B100" s="156">
        <v>76</v>
      </c>
      <c r="C100" s="240" t="str">
        <f t="shared" si="11"/>
        <v/>
      </c>
      <c r="D100" s="364"/>
      <c r="E100" s="364"/>
      <c r="F100" s="188"/>
      <c r="G100" s="188"/>
      <c r="H100" s="195"/>
      <c r="I100" s="410"/>
      <c r="J100" s="410"/>
      <c r="K100" s="241" t="str">
        <f t="shared" si="15"/>
        <v/>
      </c>
      <c r="L100" s="189"/>
      <c r="M100" s="408"/>
      <c r="N100" s="409"/>
      <c r="O100" s="408"/>
      <c r="P100" s="408"/>
      <c r="Q100" s="408"/>
      <c r="R100" s="237">
        <f t="shared" si="12"/>
        <v>0</v>
      </c>
      <c r="S100" s="403" t="str">
        <f t="shared" si="13"/>
        <v/>
      </c>
      <c r="T100" s="405" t="str">
        <f t="shared" si="14"/>
        <v/>
      </c>
      <c r="U100" s="124"/>
      <c r="V100" s="124"/>
      <c r="W100" s="124"/>
      <c r="X100" s="124"/>
      <c r="Y100" s="124"/>
      <c r="Z100" s="124"/>
      <c r="AA100" s="124"/>
      <c r="AB100" s="124"/>
      <c r="AC100" s="124"/>
      <c r="AD100" s="124"/>
      <c r="AE100" s="124"/>
      <c r="AF100" s="124"/>
      <c r="AG100" s="124"/>
      <c r="AH100" s="124"/>
      <c r="AI100" s="124"/>
      <c r="AJ100" s="124"/>
      <c r="AK100" s="124"/>
      <c r="AL100" s="124"/>
      <c r="AM100" s="19"/>
      <c r="AN100" s="19"/>
    </row>
    <row r="101" spans="1:40" x14ac:dyDescent="0.3">
      <c r="A101" s="19"/>
      <c r="B101" s="156">
        <v>77</v>
      </c>
      <c r="C101" s="240" t="str">
        <f t="shared" si="11"/>
        <v/>
      </c>
      <c r="D101" s="364"/>
      <c r="E101" s="364"/>
      <c r="F101" s="188"/>
      <c r="G101" s="188"/>
      <c r="H101" s="195"/>
      <c r="I101" s="410"/>
      <c r="J101" s="410"/>
      <c r="K101" s="241" t="str">
        <f t="shared" si="15"/>
        <v/>
      </c>
      <c r="L101" s="189"/>
      <c r="M101" s="408"/>
      <c r="N101" s="409"/>
      <c r="O101" s="408"/>
      <c r="P101" s="408"/>
      <c r="Q101" s="408"/>
      <c r="R101" s="237">
        <f t="shared" si="12"/>
        <v>0</v>
      </c>
      <c r="S101" s="403" t="str">
        <f t="shared" si="13"/>
        <v/>
      </c>
      <c r="T101" s="405" t="str">
        <f t="shared" si="14"/>
        <v/>
      </c>
      <c r="U101" s="124"/>
      <c r="V101" s="124"/>
      <c r="W101" s="124"/>
      <c r="X101" s="124"/>
      <c r="Y101" s="124"/>
      <c r="Z101" s="124"/>
      <c r="AA101" s="124"/>
      <c r="AB101" s="124"/>
      <c r="AC101" s="124"/>
      <c r="AD101" s="124"/>
      <c r="AE101" s="124"/>
      <c r="AF101" s="124"/>
      <c r="AG101" s="124"/>
      <c r="AH101" s="124"/>
      <c r="AI101" s="124"/>
      <c r="AJ101" s="124"/>
      <c r="AK101" s="124"/>
      <c r="AL101" s="124"/>
      <c r="AM101" s="19"/>
      <c r="AN101" s="19"/>
    </row>
    <row r="102" spans="1:40" x14ac:dyDescent="0.3">
      <c r="A102" s="19"/>
      <c r="B102" s="156">
        <v>78</v>
      </c>
      <c r="C102" s="240" t="str">
        <f t="shared" si="11"/>
        <v/>
      </c>
      <c r="D102" s="364"/>
      <c r="E102" s="364"/>
      <c r="F102" s="188"/>
      <c r="G102" s="188"/>
      <c r="H102" s="195"/>
      <c r="I102" s="410"/>
      <c r="J102" s="410"/>
      <c r="K102" s="241" t="str">
        <f t="shared" si="15"/>
        <v/>
      </c>
      <c r="L102" s="189"/>
      <c r="M102" s="408"/>
      <c r="N102" s="409"/>
      <c r="O102" s="408"/>
      <c r="P102" s="408"/>
      <c r="Q102" s="408"/>
      <c r="R102" s="237">
        <f t="shared" si="12"/>
        <v>0</v>
      </c>
      <c r="S102" s="403" t="str">
        <f t="shared" si="13"/>
        <v/>
      </c>
      <c r="T102" s="405" t="str">
        <f t="shared" si="14"/>
        <v/>
      </c>
      <c r="U102" s="124"/>
      <c r="V102" s="124"/>
      <c r="W102" s="124"/>
      <c r="X102" s="124"/>
      <c r="Y102" s="124"/>
      <c r="Z102" s="124"/>
      <c r="AA102" s="124"/>
      <c r="AB102" s="124"/>
      <c r="AC102" s="124"/>
      <c r="AD102" s="124"/>
      <c r="AE102" s="124"/>
      <c r="AF102" s="124"/>
      <c r="AG102" s="124"/>
      <c r="AH102" s="124"/>
      <c r="AI102" s="124"/>
      <c r="AJ102" s="124"/>
      <c r="AK102" s="124"/>
      <c r="AL102" s="124"/>
      <c r="AM102" s="19"/>
      <c r="AN102" s="19"/>
    </row>
    <row r="103" spans="1:40" x14ac:dyDescent="0.3">
      <c r="A103" s="19"/>
      <c r="B103" s="156">
        <v>79</v>
      </c>
      <c r="C103" s="240" t="str">
        <f t="shared" si="11"/>
        <v/>
      </c>
      <c r="D103" s="364"/>
      <c r="E103" s="364"/>
      <c r="F103" s="188"/>
      <c r="G103" s="188"/>
      <c r="H103" s="195"/>
      <c r="I103" s="410"/>
      <c r="J103" s="410"/>
      <c r="K103" s="241" t="str">
        <f t="shared" si="15"/>
        <v/>
      </c>
      <c r="L103" s="189"/>
      <c r="M103" s="408"/>
      <c r="N103" s="409"/>
      <c r="O103" s="408"/>
      <c r="P103" s="408"/>
      <c r="Q103" s="408"/>
      <c r="R103" s="237">
        <f t="shared" si="12"/>
        <v>0</v>
      </c>
      <c r="S103" s="403" t="str">
        <f t="shared" si="13"/>
        <v/>
      </c>
      <c r="T103" s="405" t="str">
        <f t="shared" si="14"/>
        <v/>
      </c>
      <c r="U103" s="124"/>
      <c r="V103" s="124"/>
      <c r="W103" s="124"/>
      <c r="X103" s="124"/>
      <c r="Y103" s="124"/>
      <c r="Z103" s="124"/>
      <c r="AA103" s="124"/>
      <c r="AB103" s="124"/>
      <c r="AC103" s="124"/>
      <c r="AD103" s="124"/>
      <c r="AE103" s="124"/>
      <c r="AF103" s="124"/>
      <c r="AG103" s="124"/>
      <c r="AH103" s="124"/>
      <c r="AI103" s="124"/>
      <c r="AJ103" s="124"/>
      <c r="AK103" s="124"/>
      <c r="AL103" s="124"/>
      <c r="AM103" s="19"/>
      <c r="AN103" s="19"/>
    </row>
    <row r="104" spans="1:40" x14ac:dyDescent="0.3">
      <c r="A104" s="19"/>
      <c r="B104" s="156">
        <v>80</v>
      </c>
      <c r="C104" s="240" t="str">
        <f t="shared" si="11"/>
        <v/>
      </c>
      <c r="D104" s="364"/>
      <c r="E104" s="364"/>
      <c r="F104" s="188"/>
      <c r="G104" s="188"/>
      <c r="H104" s="195"/>
      <c r="I104" s="410"/>
      <c r="J104" s="410"/>
      <c r="K104" s="241" t="str">
        <f t="shared" si="15"/>
        <v/>
      </c>
      <c r="L104" s="189"/>
      <c r="M104" s="408"/>
      <c r="N104" s="409"/>
      <c r="O104" s="408"/>
      <c r="P104" s="408"/>
      <c r="Q104" s="408"/>
      <c r="R104" s="237">
        <f t="shared" si="12"/>
        <v>0</v>
      </c>
      <c r="S104" s="403" t="str">
        <f t="shared" si="13"/>
        <v/>
      </c>
      <c r="T104" s="405" t="str">
        <f t="shared" si="14"/>
        <v/>
      </c>
      <c r="U104" s="124"/>
      <c r="V104" s="124"/>
      <c r="W104" s="124"/>
      <c r="X104" s="124"/>
      <c r="Y104" s="124"/>
      <c r="Z104" s="124"/>
      <c r="AA104" s="124"/>
      <c r="AB104" s="124"/>
      <c r="AC104" s="124"/>
      <c r="AD104" s="124"/>
      <c r="AE104" s="124"/>
      <c r="AF104" s="124"/>
      <c r="AG104" s="124"/>
      <c r="AH104" s="124"/>
      <c r="AI104" s="124"/>
      <c r="AJ104" s="124"/>
      <c r="AK104" s="124"/>
      <c r="AL104" s="124"/>
      <c r="AM104" s="19"/>
      <c r="AN104" s="19"/>
    </row>
    <row r="105" spans="1:40" x14ac:dyDescent="0.3">
      <c r="A105" s="19"/>
      <c r="B105" s="156">
        <v>81</v>
      </c>
      <c r="C105" s="240" t="str">
        <f t="shared" si="11"/>
        <v/>
      </c>
      <c r="D105" s="364"/>
      <c r="E105" s="364"/>
      <c r="F105" s="188"/>
      <c r="G105" s="188"/>
      <c r="H105" s="195"/>
      <c r="I105" s="410"/>
      <c r="J105" s="410"/>
      <c r="K105" s="241" t="str">
        <f t="shared" si="15"/>
        <v/>
      </c>
      <c r="L105" s="189"/>
      <c r="M105" s="408"/>
      <c r="N105" s="409"/>
      <c r="O105" s="408"/>
      <c r="P105" s="408"/>
      <c r="Q105" s="408"/>
      <c r="R105" s="237">
        <f t="shared" si="12"/>
        <v>0</v>
      </c>
      <c r="S105" s="403" t="str">
        <f t="shared" si="13"/>
        <v/>
      </c>
      <c r="T105" s="405" t="str">
        <f t="shared" si="14"/>
        <v/>
      </c>
      <c r="U105" s="124"/>
      <c r="V105" s="124"/>
      <c r="W105" s="124"/>
      <c r="X105" s="124"/>
      <c r="Y105" s="124"/>
      <c r="Z105" s="124"/>
      <c r="AA105" s="124"/>
      <c r="AB105" s="124"/>
      <c r="AC105" s="124"/>
      <c r="AD105" s="124"/>
      <c r="AE105" s="124"/>
      <c r="AF105" s="124"/>
      <c r="AG105" s="124"/>
      <c r="AH105" s="124"/>
      <c r="AI105" s="124"/>
      <c r="AJ105" s="124"/>
      <c r="AK105" s="124"/>
      <c r="AL105" s="124"/>
      <c r="AM105" s="19"/>
      <c r="AN105" s="19"/>
    </row>
    <row r="106" spans="1:40" x14ac:dyDescent="0.3">
      <c r="A106" s="19"/>
      <c r="B106" s="156">
        <v>82</v>
      </c>
      <c r="C106" s="240" t="str">
        <f t="shared" si="11"/>
        <v/>
      </c>
      <c r="D106" s="364"/>
      <c r="E106" s="364"/>
      <c r="F106" s="188"/>
      <c r="G106" s="188"/>
      <c r="H106" s="195"/>
      <c r="I106" s="410"/>
      <c r="J106" s="410"/>
      <c r="K106" s="241" t="str">
        <f t="shared" si="15"/>
        <v/>
      </c>
      <c r="L106" s="189"/>
      <c r="M106" s="408"/>
      <c r="N106" s="409"/>
      <c r="O106" s="408"/>
      <c r="P106" s="408"/>
      <c r="Q106" s="408"/>
      <c r="R106" s="237">
        <f t="shared" si="12"/>
        <v>0</v>
      </c>
      <c r="S106" s="403" t="str">
        <f t="shared" si="13"/>
        <v/>
      </c>
      <c r="T106" s="405" t="str">
        <f t="shared" si="14"/>
        <v/>
      </c>
      <c r="U106" s="124"/>
      <c r="V106" s="124"/>
      <c r="W106" s="124"/>
      <c r="X106" s="124"/>
      <c r="Y106" s="124"/>
      <c r="Z106" s="124"/>
      <c r="AA106" s="124"/>
      <c r="AB106" s="124"/>
      <c r="AC106" s="124"/>
      <c r="AD106" s="124"/>
      <c r="AE106" s="124"/>
      <c r="AF106" s="124"/>
      <c r="AG106" s="124"/>
      <c r="AH106" s="124"/>
      <c r="AI106" s="124"/>
      <c r="AJ106" s="124"/>
      <c r="AK106" s="124"/>
      <c r="AL106" s="124"/>
      <c r="AM106" s="19"/>
      <c r="AN106" s="19"/>
    </row>
    <row r="107" spans="1:40" x14ac:dyDescent="0.3">
      <c r="A107" s="19"/>
      <c r="B107" s="156">
        <v>83</v>
      </c>
      <c r="C107" s="240" t="str">
        <f t="shared" si="11"/>
        <v/>
      </c>
      <c r="D107" s="364"/>
      <c r="E107" s="364"/>
      <c r="F107" s="188"/>
      <c r="G107" s="188"/>
      <c r="H107" s="195"/>
      <c r="I107" s="410"/>
      <c r="J107" s="410"/>
      <c r="K107" s="241" t="str">
        <f t="shared" si="15"/>
        <v/>
      </c>
      <c r="L107" s="189"/>
      <c r="M107" s="408"/>
      <c r="N107" s="409"/>
      <c r="O107" s="408"/>
      <c r="P107" s="408"/>
      <c r="Q107" s="408"/>
      <c r="R107" s="237">
        <f t="shared" si="12"/>
        <v>0</v>
      </c>
      <c r="S107" s="403" t="str">
        <f t="shared" si="13"/>
        <v/>
      </c>
      <c r="T107" s="405" t="str">
        <f t="shared" si="14"/>
        <v/>
      </c>
      <c r="U107" s="124"/>
      <c r="V107" s="124"/>
      <c r="W107" s="124"/>
      <c r="X107" s="124"/>
      <c r="Y107" s="124"/>
      <c r="Z107" s="124"/>
      <c r="AA107" s="124"/>
      <c r="AB107" s="124"/>
      <c r="AC107" s="124"/>
      <c r="AD107" s="124"/>
      <c r="AE107" s="124"/>
      <c r="AF107" s="124"/>
      <c r="AG107" s="124"/>
      <c r="AH107" s="124"/>
      <c r="AI107" s="124"/>
      <c r="AJ107" s="124"/>
      <c r="AK107" s="124"/>
      <c r="AL107" s="124"/>
      <c r="AM107" s="19"/>
      <c r="AN107" s="19"/>
    </row>
    <row r="108" spans="1:40" x14ac:dyDescent="0.3">
      <c r="A108" s="19"/>
      <c r="B108" s="156">
        <v>84</v>
      </c>
      <c r="C108" s="240" t="str">
        <f t="shared" si="11"/>
        <v/>
      </c>
      <c r="D108" s="364"/>
      <c r="E108" s="364"/>
      <c r="F108" s="188"/>
      <c r="G108" s="188"/>
      <c r="H108" s="195"/>
      <c r="I108" s="410"/>
      <c r="J108" s="410"/>
      <c r="K108" s="241" t="str">
        <f t="shared" si="15"/>
        <v/>
      </c>
      <c r="L108" s="189"/>
      <c r="M108" s="408"/>
      <c r="N108" s="409"/>
      <c r="O108" s="408"/>
      <c r="P108" s="408"/>
      <c r="Q108" s="408"/>
      <c r="R108" s="237">
        <f t="shared" si="12"/>
        <v>0</v>
      </c>
      <c r="S108" s="403" t="str">
        <f t="shared" si="13"/>
        <v/>
      </c>
      <c r="T108" s="405" t="str">
        <f t="shared" si="14"/>
        <v/>
      </c>
      <c r="U108" s="124"/>
      <c r="V108" s="124"/>
      <c r="W108" s="124"/>
      <c r="X108" s="124"/>
      <c r="Y108" s="124"/>
      <c r="Z108" s="124"/>
      <c r="AA108" s="124"/>
      <c r="AB108" s="124"/>
      <c r="AC108" s="124"/>
      <c r="AD108" s="124"/>
      <c r="AE108" s="124"/>
      <c r="AF108" s="124"/>
      <c r="AG108" s="124"/>
      <c r="AH108" s="124"/>
      <c r="AI108" s="124"/>
      <c r="AJ108" s="124"/>
      <c r="AK108" s="124"/>
      <c r="AL108" s="124"/>
      <c r="AM108" s="19"/>
      <c r="AN108" s="19"/>
    </row>
    <row r="109" spans="1:40" x14ac:dyDescent="0.3">
      <c r="A109" s="19"/>
      <c r="B109" s="156">
        <v>85</v>
      </c>
      <c r="C109" s="240" t="str">
        <f t="shared" si="11"/>
        <v/>
      </c>
      <c r="D109" s="364"/>
      <c r="E109" s="364"/>
      <c r="F109" s="188"/>
      <c r="G109" s="188"/>
      <c r="H109" s="195"/>
      <c r="I109" s="410"/>
      <c r="J109" s="410"/>
      <c r="K109" s="241" t="str">
        <f t="shared" si="15"/>
        <v/>
      </c>
      <c r="L109" s="189"/>
      <c r="M109" s="408"/>
      <c r="N109" s="409"/>
      <c r="O109" s="408"/>
      <c r="P109" s="408"/>
      <c r="Q109" s="408"/>
      <c r="R109" s="237">
        <f t="shared" si="12"/>
        <v>0</v>
      </c>
      <c r="S109" s="403" t="str">
        <f t="shared" si="13"/>
        <v/>
      </c>
      <c r="T109" s="405" t="str">
        <f t="shared" si="14"/>
        <v/>
      </c>
      <c r="U109" s="124"/>
      <c r="V109" s="124"/>
      <c r="W109" s="124"/>
      <c r="X109" s="124"/>
      <c r="Y109" s="124"/>
      <c r="Z109" s="124"/>
      <c r="AA109" s="124"/>
      <c r="AB109" s="124"/>
      <c r="AC109" s="124"/>
      <c r="AD109" s="124"/>
      <c r="AE109" s="124"/>
      <c r="AF109" s="124"/>
      <c r="AG109" s="124"/>
      <c r="AH109" s="124"/>
      <c r="AI109" s="124"/>
      <c r="AJ109" s="124"/>
      <c r="AK109" s="124"/>
      <c r="AL109" s="124"/>
      <c r="AM109" s="19"/>
      <c r="AN109" s="19"/>
    </row>
    <row r="110" spans="1:40" x14ac:dyDescent="0.3">
      <c r="A110" s="19"/>
      <c r="B110" s="156">
        <v>86</v>
      </c>
      <c r="C110" s="240" t="str">
        <f t="shared" si="11"/>
        <v/>
      </c>
      <c r="D110" s="364"/>
      <c r="E110" s="364"/>
      <c r="F110" s="188"/>
      <c r="G110" s="188"/>
      <c r="H110" s="195"/>
      <c r="I110" s="410"/>
      <c r="J110" s="410"/>
      <c r="K110" s="241" t="str">
        <f t="shared" si="15"/>
        <v/>
      </c>
      <c r="L110" s="189"/>
      <c r="M110" s="408"/>
      <c r="N110" s="409"/>
      <c r="O110" s="408"/>
      <c r="P110" s="408"/>
      <c r="Q110" s="408"/>
      <c r="R110" s="237">
        <f t="shared" si="12"/>
        <v>0</v>
      </c>
      <c r="S110" s="403" t="str">
        <f t="shared" si="13"/>
        <v/>
      </c>
      <c r="T110" s="405" t="str">
        <f t="shared" si="14"/>
        <v/>
      </c>
      <c r="U110" s="124"/>
      <c r="V110" s="124"/>
      <c r="W110" s="124"/>
      <c r="X110" s="124"/>
      <c r="Y110" s="124"/>
      <c r="Z110" s="124"/>
      <c r="AA110" s="124"/>
      <c r="AB110" s="124"/>
      <c r="AC110" s="124"/>
      <c r="AD110" s="124"/>
      <c r="AE110" s="124"/>
      <c r="AF110" s="124"/>
      <c r="AG110" s="124"/>
      <c r="AH110" s="124"/>
      <c r="AI110" s="124"/>
      <c r="AJ110" s="124"/>
      <c r="AK110" s="124"/>
      <c r="AL110" s="124"/>
      <c r="AM110" s="19"/>
      <c r="AN110" s="19"/>
    </row>
    <row r="111" spans="1:40" x14ac:dyDescent="0.3">
      <c r="A111" s="19"/>
      <c r="B111" s="156">
        <v>87</v>
      </c>
      <c r="C111" s="240" t="str">
        <f t="shared" si="11"/>
        <v/>
      </c>
      <c r="D111" s="364"/>
      <c r="E111" s="364"/>
      <c r="F111" s="188"/>
      <c r="G111" s="188"/>
      <c r="H111" s="195"/>
      <c r="I111" s="410"/>
      <c r="J111" s="410"/>
      <c r="K111" s="241" t="str">
        <f t="shared" si="15"/>
        <v/>
      </c>
      <c r="L111" s="189"/>
      <c r="M111" s="408"/>
      <c r="N111" s="409"/>
      <c r="O111" s="408"/>
      <c r="P111" s="408"/>
      <c r="Q111" s="408"/>
      <c r="R111" s="237">
        <f t="shared" si="12"/>
        <v>0</v>
      </c>
      <c r="S111" s="403" t="str">
        <f t="shared" si="13"/>
        <v/>
      </c>
      <c r="T111" s="405" t="str">
        <f t="shared" si="14"/>
        <v/>
      </c>
      <c r="U111" s="124"/>
      <c r="V111" s="124"/>
      <c r="W111" s="124"/>
      <c r="X111" s="124"/>
      <c r="Y111" s="124"/>
      <c r="Z111" s="124"/>
      <c r="AA111" s="124"/>
      <c r="AB111" s="124"/>
      <c r="AC111" s="124"/>
      <c r="AD111" s="124"/>
      <c r="AE111" s="124"/>
      <c r="AF111" s="124"/>
      <c r="AG111" s="124"/>
      <c r="AH111" s="124"/>
      <c r="AI111" s="124"/>
      <c r="AJ111" s="124"/>
      <c r="AK111" s="124"/>
      <c r="AL111" s="124"/>
      <c r="AM111" s="19"/>
      <c r="AN111" s="19"/>
    </row>
    <row r="112" spans="1:40" x14ac:dyDescent="0.3">
      <c r="A112" s="19"/>
      <c r="B112" s="156">
        <v>88</v>
      </c>
      <c r="C112" s="240" t="str">
        <f t="shared" si="11"/>
        <v/>
      </c>
      <c r="D112" s="364"/>
      <c r="E112" s="364"/>
      <c r="F112" s="188"/>
      <c r="G112" s="188"/>
      <c r="H112" s="195"/>
      <c r="I112" s="410"/>
      <c r="J112" s="410"/>
      <c r="K112" s="241" t="str">
        <f t="shared" si="15"/>
        <v/>
      </c>
      <c r="L112" s="189"/>
      <c r="M112" s="408"/>
      <c r="N112" s="409"/>
      <c r="O112" s="408"/>
      <c r="P112" s="408"/>
      <c r="Q112" s="408"/>
      <c r="R112" s="237">
        <f t="shared" si="12"/>
        <v>0</v>
      </c>
      <c r="S112" s="403" t="str">
        <f t="shared" si="13"/>
        <v/>
      </c>
      <c r="T112" s="405" t="str">
        <f t="shared" si="14"/>
        <v/>
      </c>
      <c r="U112" s="124"/>
      <c r="V112" s="124"/>
      <c r="W112" s="124"/>
      <c r="X112" s="124"/>
      <c r="Y112" s="124"/>
      <c r="Z112" s="124"/>
      <c r="AA112" s="124"/>
      <c r="AB112" s="124"/>
      <c r="AC112" s="124"/>
      <c r="AD112" s="124"/>
      <c r="AE112" s="124"/>
      <c r="AF112" s="124"/>
      <c r="AG112" s="124"/>
      <c r="AH112" s="124"/>
      <c r="AI112" s="124"/>
      <c r="AJ112" s="124"/>
      <c r="AK112" s="124"/>
      <c r="AL112" s="124"/>
      <c r="AM112" s="19"/>
      <c r="AN112" s="19"/>
    </row>
    <row r="113" spans="1:40" x14ac:dyDescent="0.3">
      <c r="A113" s="19"/>
      <c r="B113" s="156">
        <v>89</v>
      </c>
      <c r="C113" s="240" t="str">
        <f t="shared" si="11"/>
        <v/>
      </c>
      <c r="D113" s="364"/>
      <c r="E113" s="364"/>
      <c r="F113" s="188"/>
      <c r="G113" s="188"/>
      <c r="H113" s="195"/>
      <c r="I113" s="410"/>
      <c r="J113" s="410"/>
      <c r="K113" s="241" t="str">
        <f t="shared" si="15"/>
        <v/>
      </c>
      <c r="L113" s="189"/>
      <c r="M113" s="408"/>
      <c r="N113" s="409"/>
      <c r="O113" s="408"/>
      <c r="P113" s="408"/>
      <c r="Q113" s="408"/>
      <c r="R113" s="237">
        <f t="shared" si="12"/>
        <v>0</v>
      </c>
      <c r="S113" s="403" t="str">
        <f t="shared" si="13"/>
        <v/>
      </c>
      <c r="T113" s="405" t="str">
        <f t="shared" si="14"/>
        <v/>
      </c>
      <c r="U113" s="124"/>
      <c r="V113" s="124"/>
      <c r="W113" s="124"/>
      <c r="X113" s="124"/>
      <c r="Y113" s="124"/>
      <c r="Z113" s="124"/>
      <c r="AA113" s="124"/>
      <c r="AB113" s="124"/>
      <c r="AC113" s="124"/>
      <c r="AD113" s="124"/>
      <c r="AE113" s="124"/>
      <c r="AF113" s="124"/>
      <c r="AG113" s="124"/>
      <c r="AH113" s="124"/>
      <c r="AI113" s="124"/>
      <c r="AJ113" s="124"/>
      <c r="AK113" s="124"/>
      <c r="AL113" s="124"/>
      <c r="AM113" s="19"/>
      <c r="AN113" s="19"/>
    </row>
    <row r="114" spans="1:40" x14ac:dyDescent="0.3">
      <c r="A114" s="19"/>
      <c r="B114" s="156">
        <v>90</v>
      </c>
      <c r="C114" s="240" t="str">
        <f t="shared" si="11"/>
        <v/>
      </c>
      <c r="D114" s="364"/>
      <c r="E114" s="364"/>
      <c r="F114" s="188"/>
      <c r="G114" s="188"/>
      <c r="H114" s="195"/>
      <c r="I114" s="410"/>
      <c r="J114" s="410"/>
      <c r="K114" s="241" t="str">
        <f t="shared" si="15"/>
        <v/>
      </c>
      <c r="L114" s="189"/>
      <c r="M114" s="408"/>
      <c r="N114" s="409"/>
      <c r="O114" s="408"/>
      <c r="P114" s="408"/>
      <c r="Q114" s="408"/>
      <c r="R114" s="237">
        <f t="shared" si="12"/>
        <v>0</v>
      </c>
      <c r="S114" s="403" t="str">
        <f t="shared" si="13"/>
        <v/>
      </c>
      <c r="T114" s="405" t="str">
        <f t="shared" si="14"/>
        <v/>
      </c>
      <c r="U114" s="124"/>
      <c r="V114" s="124"/>
      <c r="W114" s="124"/>
      <c r="X114" s="124"/>
      <c r="Y114" s="124"/>
      <c r="Z114" s="124"/>
      <c r="AA114" s="124"/>
      <c r="AB114" s="124"/>
      <c r="AC114" s="124"/>
      <c r="AD114" s="124"/>
      <c r="AE114" s="124"/>
      <c r="AF114" s="124"/>
      <c r="AG114" s="124"/>
      <c r="AH114" s="124"/>
      <c r="AI114" s="124"/>
      <c r="AJ114" s="124"/>
      <c r="AK114" s="124"/>
      <c r="AL114" s="124"/>
      <c r="AM114" s="19"/>
      <c r="AN114" s="19"/>
    </row>
    <row r="115" spans="1:40" x14ac:dyDescent="0.3">
      <c r="A115" s="19"/>
      <c r="B115" s="156">
        <v>91</v>
      </c>
      <c r="C115" s="240" t="str">
        <f t="shared" si="11"/>
        <v/>
      </c>
      <c r="D115" s="364"/>
      <c r="E115" s="364"/>
      <c r="F115" s="188"/>
      <c r="G115" s="188"/>
      <c r="H115" s="195"/>
      <c r="I115" s="410"/>
      <c r="J115" s="410"/>
      <c r="K115" s="241" t="str">
        <f t="shared" si="15"/>
        <v/>
      </c>
      <c r="L115" s="189"/>
      <c r="M115" s="408"/>
      <c r="N115" s="409"/>
      <c r="O115" s="408"/>
      <c r="P115" s="408"/>
      <c r="Q115" s="408"/>
      <c r="R115" s="237">
        <f t="shared" si="12"/>
        <v>0</v>
      </c>
      <c r="S115" s="403" t="str">
        <f t="shared" si="13"/>
        <v/>
      </c>
      <c r="T115" s="405" t="str">
        <f t="shared" si="14"/>
        <v/>
      </c>
      <c r="U115" s="124"/>
      <c r="V115" s="124"/>
      <c r="W115" s="124"/>
      <c r="X115" s="124"/>
      <c r="Y115" s="124"/>
      <c r="Z115" s="124"/>
      <c r="AA115" s="124"/>
      <c r="AB115" s="124"/>
      <c r="AC115" s="124"/>
      <c r="AD115" s="124"/>
      <c r="AE115" s="124"/>
      <c r="AF115" s="124"/>
      <c r="AG115" s="124"/>
      <c r="AH115" s="124"/>
      <c r="AI115" s="124"/>
      <c r="AJ115" s="124"/>
      <c r="AK115" s="124"/>
      <c r="AL115" s="124"/>
      <c r="AM115" s="19"/>
      <c r="AN115" s="19"/>
    </row>
    <row r="116" spans="1:40" x14ac:dyDescent="0.3">
      <c r="A116" s="19"/>
      <c r="B116" s="156">
        <v>92</v>
      </c>
      <c r="C116" s="240" t="str">
        <f t="shared" si="11"/>
        <v/>
      </c>
      <c r="D116" s="364"/>
      <c r="E116" s="364"/>
      <c r="F116" s="188"/>
      <c r="G116" s="188"/>
      <c r="H116" s="195"/>
      <c r="I116" s="410"/>
      <c r="J116" s="410"/>
      <c r="K116" s="241" t="str">
        <f t="shared" si="15"/>
        <v/>
      </c>
      <c r="L116" s="189"/>
      <c r="M116" s="408"/>
      <c r="N116" s="409"/>
      <c r="O116" s="408"/>
      <c r="P116" s="408"/>
      <c r="Q116" s="408"/>
      <c r="R116" s="237">
        <f t="shared" si="12"/>
        <v>0</v>
      </c>
      <c r="S116" s="403" t="str">
        <f t="shared" si="13"/>
        <v/>
      </c>
      <c r="T116" s="405" t="str">
        <f t="shared" si="14"/>
        <v/>
      </c>
      <c r="U116" s="124"/>
      <c r="V116" s="124"/>
      <c r="W116" s="124"/>
      <c r="X116" s="124"/>
      <c r="Y116" s="124"/>
      <c r="Z116" s="124"/>
      <c r="AA116" s="124"/>
      <c r="AB116" s="124"/>
      <c r="AC116" s="124"/>
      <c r="AD116" s="124"/>
      <c r="AE116" s="124"/>
      <c r="AF116" s="124"/>
      <c r="AG116" s="124"/>
      <c r="AH116" s="124"/>
      <c r="AI116" s="124"/>
      <c r="AJ116" s="124"/>
      <c r="AK116" s="124"/>
      <c r="AL116" s="124"/>
      <c r="AM116" s="19"/>
      <c r="AN116" s="19"/>
    </row>
    <row r="117" spans="1:40" x14ac:dyDescent="0.3">
      <c r="A117" s="19"/>
      <c r="B117" s="156">
        <v>93</v>
      </c>
      <c r="C117" s="240" t="str">
        <f t="shared" si="11"/>
        <v/>
      </c>
      <c r="D117" s="364"/>
      <c r="E117" s="364"/>
      <c r="F117" s="188"/>
      <c r="G117" s="188"/>
      <c r="H117" s="195"/>
      <c r="I117" s="410"/>
      <c r="J117" s="410"/>
      <c r="K117" s="241" t="str">
        <f t="shared" si="15"/>
        <v/>
      </c>
      <c r="L117" s="189"/>
      <c r="M117" s="408"/>
      <c r="N117" s="409"/>
      <c r="O117" s="408"/>
      <c r="P117" s="408"/>
      <c r="Q117" s="408"/>
      <c r="R117" s="237">
        <f t="shared" si="12"/>
        <v>0</v>
      </c>
      <c r="S117" s="403" t="str">
        <f t="shared" si="13"/>
        <v/>
      </c>
      <c r="T117" s="405" t="str">
        <f t="shared" si="14"/>
        <v/>
      </c>
      <c r="U117" s="124"/>
      <c r="V117" s="124"/>
      <c r="W117" s="124"/>
      <c r="X117" s="124"/>
      <c r="Y117" s="124"/>
      <c r="Z117" s="124"/>
      <c r="AA117" s="124"/>
      <c r="AB117" s="124"/>
      <c r="AC117" s="124"/>
      <c r="AD117" s="124"/>
      <c r="AE117" s="124"/>
      <c r="AF117" s="124"/>
      <c r="AG117" s="124"/>
      <c r="AH117" s="124"/>
      <c r="AI117" s="124"/>
      <c r="AJ117" s="124"/>
      <c r="AK117" s="124"/>
      <c r="AL117" s="124"/>
      <c r="AM117" s="19"/>
      <c r="AN117" s="19"/>
    </row>
    <row r="118" spans="1:40" x14ac:dyDescent="0.3">
      <c r="A118" s="19"/>
      <c r="B118" s="156">
        <v>94</v>
      </c>
      <c r="C118" s="240" t="str">
        <f t="shared" si="11"/>
        <v/>
      </c>
      <c r="D118" s="364"/>
      <c r="E118" s="364"/>
      <c r="F118" s="188"/>
      <c r="G118" s="188"/>
      <c r="H118" s="195"/>
      <c r="I118" s="410"/>
      <c r="J118" s="410"/>
      <c r="K118" s="241" t="str">
        <f t="shared" si="15"/>
        <v/>
      </c>
      <c r="L118" s="189"/>
      <c r="M118" s="408"/>
      <c r="N118" s="409"/>
      <c r="O118" s="408"/>
      <c r="P118" s="408"/>
      <c r="Q118" s="408"/>
      <c r="R118" s="237">
        <f t="shared" si="12"/>
        <v>0</v>
      </c>
      <c r="S118" s="403" t="str">
        <f t="shared" si="13"/>
        <v/>
      </c>
      <c r="T118" s="405" t="str">
        <f t="shared" si="14"/>
        <v/>
      </c>
      <c r="U118" s="124"/>
      <c r="V118" s="124"/>
      <c r="W118" s="124"/>
      <c r="X118" s="124"/>
      <c r="Y118" s="124"/>
      <c r="Z118" s="124"/>
      <c r="AA118" s="124"/>
      <c r="AB118" s="124"/>
      <c r="AC118" s="124"/>
      <c r="AD118" s="124"/>
      <c r="AE118" s="124"/>
      <c r="AF118" s="124"/>
      <c r="AG118" s="124"/>
      <c r="AH118" s="124"/>
      <c r="AI118" s="124"/>
      <c r="AJ118" s="124"/>
      <c r="AK118" s="124"/>
      <c r="AL118" s="124"/>
      <c r="AM118" s="19"/>
      <c r="AN118" s="19"/>
    </row>
    <row r="119" spans="1:40" x14ac:dyDescent="0.3">
      <c r="A119" s="19"/>
      <c r="B119" s="156">
        <v>95</v>
      </c>
      <c r="C119" s="240" t="str">
        <f t="shared" si="11"/>
        <v/>
      </c>
      <c r="D119" s="364"/>
      <c r="E119" s="364"/>
      <c r="F119" s="188"/>
      <c r="G119" s="188"/>
      <c r="H119" s="195"/>
      <c r="I119" s="410"/>
      <c r="J119" s="410"/>
      <c r="K119" s="241" t="str">
        <f t="shared" si="15"/>
        <v/>
      </c>
      <c r="L119" s="189"/>
      <c r="M119" s="408"/>
      <c r="N119" s="409"/>
      <c r="O119" s="408"/>
      <c r="P119" s="408"/>
      <c r="Q119" s="408"/>
      <c r="R119" s="237">
        <f t="shared" si="12"/>
        <v>0</v>
      </c>
      <c r="S119" s="403" t="str">
        <f t="shared" si="13"/>
        <v/>
      </c>
      <c r="T119" s="405" t="str">
        <f t="shared" si="14"/>
        <v/>
      </c>
      <c r="U119" s="124"/>
      <c r="V119" s="124"/>
      <c r="W119" s="124"/>
      <c r="X119" s="124"/>
      <c r="Y119" s="124"/>
      <c r="Z119" s="124"/>
      <c r="AA119" s="124"/>
      <c r="AB119" s="124"/>
      <c r="AC119" s="124"/>
      <c r="AD119" s="124"/>
      <c r="AE119" s="124"/>
      <c r="AF119" s="124"/>
      <c r="AG119" s="124"/>
      <c r="AH119" s="124"/>
      <c r="AI119" s="124"/>
      <c r="AJ119" s="124"/>
      <c r="AK119" s="124"/>
      <c r="AL119" s="124"/>
      <c r="AM119" s="19"/>
      <c r="AN119" s="19"/>
    </row>
    <row r="120" spans="1:40" x14ac:dyDescent="0.3">
      <c r="A120" s="19"/>
      <c r="B120" s="156">
        <v>96</v>
      </c>
      <c r="C120" s="240" t="str">
        <f t="shared" si="11"/>
        <v/>
      </c>
      <c r="D120" s="364"/>
      <c r="E120" s="364"/>
      <c r="F120" s="188"/>
      <c r="G120" s="188"/>
      <c r="H120" s="195"/>
      <c r="I120" s="410"/>
      <c r="J120" s="410"/>
      <c r="K120" s="241" t="str">
        <f t="shared" si="15"/>
        <v/>
      </c>
      <c r="L120" s="189"/>
      <c r="M120" s="408"/>
      <c r="N120" s="409"/>
      <c r="O120" s="408"/>
      <c r="P120" s="408"/>
      <c r="Q120" s="408"/>
      <c r="R120" s="237">
        <f t="shared" si="12"/>
        <v>0</v>
      </c>
      <c r="S120" s="403" t="str">
        <f t="shared" si="13"/>
        <v/>
      </c>
      <c r="T120" s="405" t="str">
        <f t="shared" si="14"/>
        <v/>
      </c>
      <c r="U120" s="124"/>
      <c r="V120" s="124"/>
      <c r="W120" s="124"/>
      <c r="X120" s="124"/>
      <c r="Y120" s="124"/>
      <c r="Z120" s="124"/>
      <c r="AA120" s="124"/>
      <c r="AB120" s="124"/>
      <c r="AC120" s="124"/>
      <c r="AD120" s="124"/>
      <c r="AE120" s="124"/>
      <c r="AF120" s="124"/>
      <c r="AG120" s="124"/>
      <c r="AH120" s="124"/>
      <c r="AI120" s="124"/>
      <c r="AJ120" s="124"/>
      <c r="AK120" s="124"/>
      <c r="AL120" s="124"/>
      <c r="AM120" s="19"/>
      <c r="AN120" s="19"/>
    </row>
    <row r="121" spans="1:40" x14ac:dyDescent="0.3">
      <c r="A121" s="19"/>
      <c r="B121" s="156">
        <v>97</v>
      </c>
      <c r="C121" s="240" t="str">
        <f t="shared" si="11"/>
        <v/>
      </c>
      <c r="D121" s="364"/>
      <c r="E121" s="364"/>
      <c r="F121" s="188"/>
      <c r="G121" s="188"/>
      <c r="H121" s="195"/>
      <c r="I121" s="410"/>
      <c r="J121" s="410"/>
      <c r="K121" s="241" t="str">
        <f t="shared" si="15"/>
        <v/>
      </c>
      <c r="L121" s="189"/>
      <c r="M121" s="408"/>
      <c r="N121" s="409"/>
      <c r="O121" s="408"/>
      <c r="P121" s="408"/>
      <c r="Q121" s="408"/>
      <c r="R121" s="237">
        <f t="shared" si="12"/>
        <v>0</v>
      </c>
      <c r="S121" s="403" t="str">
        <f t="shared" si="13"/>
        <v/>
      </c>
      <c r="T121" s="405" t="str">
        <f t="shared" si="14"/>
        <v/>
      </c>
      <c r="U121" s="124"/>
      <c r="V121" s="124"/>
      <c r="W121" s="124"/>
      <c r="X121" s="124"/>
      <c r="Y121" s="124"/>
      <c r="Z121" s="124"/>
      <c r="AA121" s="124"/>
      <c r="AB121" s="124"/>
      <c r="AC121" s="124"/>
      <c r="AD121" s="124"/>
      <c r="AE121" s="124"/>
      <c r="AF121" s="124"/>
      <c r="AG121" s="124"/>
      <c r="AH121" s="124"/>
      <c r="AI121" s="124"/>
      <c r="AJ121" s="124"/>
      <c r="AK121" s="124"/>
      <c r="AL121" s="124"/>
      <c r="AM121" s="19"/>
      <c r="AN121" s="19"/>
    </row>
    <row r="122" spans="1:40" x14ac:dyDescent="0.3">
      <c r="A122" s="19"/>
      <c r="B122" s="156">
        <v>98</v>
      </c>
      <c r="C122" s="240" t="str">
        <f t="shared" si="11"/>
        <v/>
      </c>
      <c r="D122" s="364"/>
      <c r="E122" s="364"/>
      <c r="F122" s="188"/>
      <c r="G122" s="188"/>
      <c r="H122" s="195"/>
      <c r="I122" s="410"/>
      <c r="J122" s="410"/>
      <c r="K122" s="241" t="str">
        <f t="shared" si="15"/>
        <v/>
      </c>
      <c r="L122" s="189"/>
      <c r="M122" s="408"/>
      <c r="N122" s="409"/>
      <c r="O122" s="408"/>
      <c r="P122" s="408"/>
      <c r="Q122" s="408"/>
      <c r="R122" s="237">
        <f t="shared" si="12"/>
        <v>0</v>
      </c>
      <c r="S122" s="403" t="str">
        <f t="shared" si="13"/>
        <v/>
      </c>
      <c r="T122" s="405" t="str">
        <f t="shared" si="14"/>
        <v/>
      </c>
      <c r="U122" s="124"/>
      <c r="V122" s="124"/>
      <c r="W122" s="124"/>
      <c r="X122" s="124"/>
      <c r="Y122" s="124"/>
      <c r="Z122" s="124"/>
      <c r="AA122" s="124"/>
      <c r="AB122" s="124"/>
      <c r="AC122" s="124"/>
      <c r="AD122" s="124"/>
      <c r="AE122" s="124"/>
      <c r="AF122" s="124"/>
      <c r="AG122" s="124"/>
      <c r="AH122" s="124"/>
      <c r="AI122" s="124"/>
      <c r="AJ122" s="124"/>
      <c r="AK122" s="124"/>
      <c r="AL122" s="124"/>
      <c r="AM122" s="19"/>
      <c r="AN122" s="19"/>
    </row>
    <row r="123" spans="1:40" x14ac:dyDescent="0.3">
      <c r="A123" s="19"/>
      <c r="B123" s="156">
        <v>99</v>
      </c>
      <c r="C123" s="240" t="str">
        <f t="shared" si="11"/>
        <v/>
      </c>
      <c r="D123" s="364"/>
      <c r="E123" s="364"/>
      <c r="F123" s="188"/>
      <c r="G123" s="188"/>
      <c r="H123" s="195"/>
      <c r="I123" s="410"/>
      <c r="J123" s="410"/>
      <c r="K123" s="241" t="str">
        <f t="shared" si="15"/>
        <v/>
      </c>
      <c r="L123" s="189"/>
      <c r="M123" s="408"/>
      <c r="N123" s="409"/>
      <c r="O123" s="408"/>
      <c r="P123" s="408"/>
      <c r="Q123" s="408"/>
      <c r="R123" s="237">
        <f t="shared" si="12"/>
        <v>0</v>
      </c>
      <c r="S123" s="403" t="str">
        <f t="shared" si="13"/>
        <v/>
      </c>
      <c r="T123" s="405" t="str">
        <f t="shared" si="14"/>
        <v/>
      </c>
      <c r="U123" s="124"/>
      <c r="V123" s="124"/>
      <c r="W123" s="124"/>
      <c r="X123" s="124"/>
      <c r="Y123" s="124"/>
      <c r="Z123" s="124"/>
      <c r="AA123" s="124"/>
      <c r="AB123" s="124"/>
      <c r="AC123" s="124"/>
      <c r="AD123" s="124"/>
      <c r="AE123" s="124"/>
      <c r="AF123" s="124"/>
      <c r="AG123" s="124"/>
      <c r="AH123" s="124"/>
      <c r="AI123" s="124"/>
      <c r="AJ123" s="124"/>
      <c r="AK123" s="124"/>
      <c r="AL123" s="124"/>
      <c r="AM123" s="19"/>
      <c r="AN123" s="19"/>
    </row>
    <row r="124" spans="1:40" x14ac:dyDescent="0.3">
      <c r="A124" s="19"/>
      <c r="B124" s="156">
        <v>100</v>
      </c>
      <c r="C124" s="240" t="str">
        <f t="shared" si="11"/>
        <v/>
      </c>
      <c r="D124" s="364"/>
      <c r="E124" s="364"/>
      <c r="F124" s="188"/>
      <c r="G124" s="188"/>
      <c r="H124" s="195"/>
      <c r="I124" s="410"/>
      <c r="J124" s="410"/>
      <c r="K124" s="241" t="str">
        <f t="shared" si="15"/>
        <v/>
      </c>
      <c r="L124" s="189"/>
      <c r="M124" s="408"/>
      <c r="N124" s="409"/>
      <c r="O124" s="408"/>
      <c r="P124" s="408"/>
      <c r="Q124" s="408"/>
      <c r="R124" s="237">
        <f t="shared" si="12"/>
        <v>0</v>
      </c>
      <c r="S124" s="403" t="str">
        <f t="shared" si="13"/>
        <v/>
      </c>
      <c r="T124" s="405" t="str">
        <f t="shared" si="14"/>
        <v/>
      </c>
      <c r="U124" s="124"/>
      <c r="V124" s="124"/>
      <c r="W124" s="124"/>
      <c r="X124" s="124"/>
      <c r="Y124" s="124"/>
      <c r="Z124" s="124"/>
      <c r="AA124" s="124"/>
      <c r="AB124" s="124"/>
      <c r="AC124" s="124"/>
      <c r="AD124" s="124"/>
      <c r="AE124" s="124"/>
      <c r="AF124" s="124"/>
      <c r="AG124" s="124"/>
      <c r="AH124" s="124"/>
      <c r="AI124" s="124"/>
      <c r="AJ124" s="124"/>
      <c r="AK124" s="124"/>
      <c r="AL124" s="124"/>
      <c r="AM124" s="19"/>
      <c r="AN124" s="19"/>
    </row>
    <row r="125" spans="1:40" x14ac:dyDescent="0.3">
      <c r="A125" s="19"/>
      <c r="B125" s="156">
        <v>101</v>
      </c>
      <c r="C125" s="240" t="str">
        <f t="shared" si="11"/>
        <v/>
      </c>
      <c r="D125" s="364"/>
      <c r="E125" s="364"/>
      <c r="F125" s="188"/>
      <c r="G125" s="188"/>
      <c r="H125" s="195"/>
      <c r="I125" s="410"/>
      <c r="J125" s="410"/>
      <c r="K125" s="241" t="str">
        <f t="shared" si="15"/>
        <v/>
      </c>
      <c r="L125" s="189"/>
      <c r="M125" s="408"/>
      <c r="N125" s="409"/>
      <c r="O125" s="408"/>
      <c r="P125" s="408"/>
      <c r="Q125" s="408"/>
      <c r="R125" s="237">
        <f t="shared" si="12"/>
        <v>0</v>
      </c>
      <c r="S125" s="403" t="str">
        <f t="shared" si="13"/>
        <v/>
      </c>
      <c r="T125" s="405" t="str">
        <f t="shared" si="14"/>
        <v/>
      </c>
      <c r="U125" s="124"/>
      <c r="V125" s="124"/>
      <c r="W125" s="124"/>
      <c r="X125" s="124"/>
      <c r="Y125" s="124"/>
      <c r="Z125" s="124"/>
      <c r="AA125" s="124"/>
      <c r="AB125" s="124"/>
      <c r="AC125" s="124"/>
      <c r="AD125" s="124"/>
      <c r="AE125" s="124"/>
      <c r="AF125" s="124"/>
      <c r="AG125" s="124"/>
      <c r="AH125" s="124"/>
      <c r="AI125" s="124"/>
      <c r="AJ125" s="124"/>
      <c r="AK125" s="124"/>
      <c r="AL125" s="124"/>
      <c r="AM125" s="19"/>
      <c r="AN125" s="19"/>
    </row>
    <row r="126" spans="1:40" x14ac:dyDescent="0.3">
      <c r="A126" s="19"/>
      <c r="B126" s="156">
        <v>102</v>
      </c>
      <c r="C126" s="240" t="str">
        <f t="shared" si="11"/>
        <v/>
      </c>
      <c r="D126" s="364"/>
      <c r="E126" s="364"/>
      <c r="F126" s="188"/>
      <c r="G126" s="188"/>
      <c r="H126" s="195"/>
      <c r="I126" s="410"/>
      <c r="J126" s="410"/>
      <c r="K126" s="241" t="str">
        <f t="shared" si="15"/>
        <v/>
      </c>
      <c r="L126" s="189"/>
      <c r="M126" s="408"/>
      <c r="N126" s="409"/>
      <c r="O126" s="408"/>
      <c r="P126" s="408"/>
      <c r="Q126" s="408"/>
      <c r="R126" s="237">
        <f t="shared" si="12"/>
        <v>0</v>
      </c>
      <c r="S126" s="403" t="str">
        <f t="shared" si="13"/>
        <v/>
      </c>
      <c r="T126" s="405" t="str">
        <f t="shared" si="14"/>
        <v/>
      </c>
      <c r="U126" s="124"/>
      <c r="V126" s="124"/>
      <c r="W126" s="124"/>
      <c r="X126" s="124"/>
      <c r="Y126" s="124"/>
      <c r="Z126" s="124"/>
      <c r="AA126" s="124"/>
      <c r="AB126" s="124"/>
      <c r="AC126" s="124"/>
      <c r="AD126" s="124"/>
      <c r="AE126" s="124"/>
      <c r="AF126" s="124"/>
      <c r="AG126" s="124"/>
      <c r="AH126" s="124"/>
      <c r="AI126" s="124"/>
      <c r="AJ126" s="124"/>
      <c r="AK126" s="124"/>
      <c r="AL126" s="124"/>
      <c r="AM126" s="19"/>
      <c r="AN126" s="19"/>
    </row>
    <row r="127" spans="1:40" x14ac:dyDescent="0.3">
      <c r="A127" s="19"/>
      <c r="B127" s="156">
        <v>103</v>
      </c>
      <c r="C127" s="240" t="str">
        <f t="shared" si="11"/>
        <v/>
      </c>
      <c r="D127" s="364"/>
      <c r="E127" s="364"/>
      <c r="F127" s="188"/>
      <c r="G127" s="188"/>
      <c r="H127" s="195"/>
      <c r="I127" s="410"/>
      <c r="J127" s="410"/>
      <c r="K127" s="241" t="str">
        <f t="shared" si="15"/>
        <v/>
      </c>
      <c r="L127" s="189"/>
      <c r="M127" s="408"/>
      <c r="N127" s="409"/>
      <c r="O127" s="408"/>
      <c r="P127" s="408"/>
      <c r="Q127" s="408"/>
      <c r="R127" s="237">
        <f t="shared" si="12"/>
        <v>0</v>
      </c>
      <c r="S127" s="403" t="str">
        <f t="shared" si="13"/>
        <v/>
      </c>
      <c r="T127" s="405" t="str">
        <f t="shared" si="14"/>
        <v/>
      </c>
      <c r="U127" s="124"/>
      <c r="V127" s="124"/>
      <c r="W127" s="124"/>
      <c r="X127" s="124"/>
      <c r="Y127" s="124"/>
      <c r="Z127" s="124"/>
      <c r="AA127" s="124"/>
      <c r="AB127" s="124"/>
      <c r="AC127" s="124"/>
      <c r="AD127" s="124"/>
      <c r="AE127" s="124"/>
      <c r="AF127" s="124"/>
      <c r="AG127" s="124"/>
      <c r="AH127" s="124"/>
      <c r="AI127" s="124"/>
      <c r="AJ127" s="124"/>
      <c r="AK127" s="124"/>
      <c r="AL127" s="124"/>
      <c r="AM127" s="19"/>
      <c r="AN127" s="19"/>
    </row>
    <row r="128" spans="1:40" x14ac:dyDescent="0.3">
      <c r="A128" s="19"/>
      <c r="B128" s="156">
        <v>104</v>
      </c>
      <c r="C128" s="240" t="str">
        <f t="shared" si="11"/>
        <v/>
      </c>
      <c r="D128" s="364"/>
      <c r="E128" s="364"/>
      <c r="F128" s="188"/>
      <c r="G128" s="188"/>
      <c r="H128" s="195"/>
      <c r="I128" s="410"/>
      <c r="J128" s="410"/>
      <c r="K128" s="241" t="str">
        <f t="shared" si="15"/>
        <v/>
      </c>
      <c r="L128" s="189"/>
      <c r="M128" s="408"/>
      <c r="N128" s="409"/>
      <c r="O128" s="408"/>
      <c r="P128" s="408"/>
      <c r="Q128" s="408"/>
      <c r="R128" s="237">
        <f t="shared" si="12"/>
        <v>0</v>
      </c>
      <c r="S128" s="403" t="str">
        <f t="shared" si="13"/>
        <v/>
      </c>
      <c r="T128" s="405" t="str">
        <f t="shared" si="14"/>
        <v/>
      </c>
      <c r="U128" s="124"/>
      <c r="V128" s="124"/>
      <c r="W128" s="124"/>
      <c r="X128" s="124"/>
      <c r="Y128" s="124"/>
      <c r="Z128" s="124"/>
      <c r="AA128" s="124"/>
      <c r="AB128" s="124"/>
      <c r="AC128" s="124"/>
      <c r="AD128" s="124"/>
      <c r="AE128" s="124"/>
      <c r="AF128" s="124"/>
      <c r="AG128" s="124"/>
      <c r="AH128" s="124"/>
      <c r="AI128" s="124"/>
      <c r="AJ128" s="124"/>
      <c r="AK128" s="124"/>
      <c r="AL128" s="124"/>
      <c r="AM128" s="19"/>
      <c r="AN128" s="19"/>
    </row>
    <row r="129" spans="1:40" x14ac:dyDescent="0.3">
      <c r="A129" s="19"/>
      <c r="B129" s="156">
        <v>105</v>
      </c>
      <c r="C129" s="240" t="str">
        <f t="shared" si="11"/>
        <v/>
      </c>
      <c r="D129" s="364"/>
      <c r="E129" s="364"/>
      <c r="F129" s="188"/>
      <c r="G129" s="188"/>
      <c r="H129" s="195"/>
      <c r="I129" s="410"/>
      <c r="J129" s="410"/>
      <c r="K129" s="241" t="str">
        <f t="shared" si="15"/>
        <v/>
      </c>
      <c r="L129" s="189"/>
      <c r="M129" s="408"/>
      <c r="N129" s="409"/>
      <c r="O129" s="408"/>
      <c r="P129" s="408"/>
      <c r="Q129" s="408"/>
      <c r="R129" s="237">
        <f t="shared" si="12"/>
        <v>0</v>
      </c>
      <c r="S129" s="403" t="str">
        <f t="shared" si="13"/>
        <v/>
      </c>
      <c r="T129" s="405" t="str">
        <f t="shared" si="14"/>
        <v/>
      </c>
      <c r="U129" s="124"/>
      <c r="V129" s="124"/>
      <c r="W129" s="124"/>
      <c r="X129" s="124"/>
      <c r="Y129" s="124"/>
      <c r="Z129" s="124"/>
      <c r="AA129" s="124"/>
      <c r="AB129" s="124"/>
      <c r="AC129" s="124"/>
      <c r="AD129" s="124"/>
      <c r="AE129" s="124"/>
      <c r="AF129" s="124"/>
      <c r="AG129" s="124"/>
      <c r="AH129" s="124"/>
      <c r="AI129" s="124"/>
      <c r="AJ129" s="124"/>
      <c r="AK129" s="124"/>
      <c r="AL129" s="124"/>
      <c r="AM129" s="19"/>
      <c r="AN129" s="19"/>
    </row>
    <row r="130" spans="1:40" x14ac:dyDescent="0.3">
      <c r="A130" s="19"/>
      <c r="B130" s="156">
        <v>106</v>
      </c>
      <c r="C130" s="240" t="str">
        <f t="shared" ref="C130:C133" si="16">IF(AND(NOT(COUNTA(D130:J130)),(NOT(COUNTA(L130:Q130)))),"",VLOOKUP($D$9,Info_County_Code,2,FALSE))</f>
        <v/>
      </c>
      <c r="D130" s="364"/>
      <c r="E130" s="364"/>
      <c r="F130" s="188"/>
      <c r="G130" s="188"/>
      <c r="H130" s="195"/>
      <c r="I130" s="410"/>
      <c r="J130" s="410"/>
      <c r="K130" s="241" t="str">
        <f t="shared" si="15"/>
        <v/>
      </c>
      <c r="L130" s="189"/>
      <c r="M130" s="408"/>
      <c r="N130" s="409"/>
      <c r="O130" s="408"/>
      <c r="P130" s="408"/>
      <c r="Q130" s="408"/>
      <c r="R130" s="237">
        <f t="shared" ref="R130:R133" si="17">SUM(L130:Q130)</f>
        <v>0</v>
      </c>
      <c r="S130" s="403" t="str">
        <f t="shared" si="13"/>
        <v/>
      </c>
      <c r="T130" s="405" t="str">
        <f t="shared" ref="T130:T133" si="18">IF(AND(F130="Standalone",NOT(S130=1)),"ERROR",IF(AND(G130="Combined Summary",NOT(S130=1)),"ERROR",""))</f>
        <v/>
      </c>
      <c r="U130" s="124"/>
      <c r="V130" s="124"/>
      <c r="W130" s="124"/>
      <c r="X130" s="124"/>
      <c r="Y130" s="124"/>
      <c r="Z130" s="124"/>
      <c r="AA130" s="124"/>
      <c r="AB130" s="124"/>
      <c r="AC130" s="124"/>
      <c r="AD130" s="124"/>
      <c r="AE130" s="124"/>
      <c r="AF130" s="124"/>
      <c r="AG130" s="124"/>
      <c r="AH130" s="124"/>
      <c r="AI130" s="124"/>
      <c r="AJ130" s="124"/>
      <c r="AK130" s="124"/>
      <c r="AL130" s="124"/>
      <c r="AM130" s="19"/>
      <c r="AN130" s="19"/>
    </row>
    <row r="131" spans="1:40" x14ac:dyDescent="0.3">
      <c r="A131" s="19"/>
      <c r="B131" s="156">
        <v>107</v>
      </c>
      <c r="C131" s="240" t="str">
        <f t="shared" si="16"/>
        <v/>
      </c>
      <c r="D131" s="364"/>
      <c r="E131" s="364"/>
      <c r="F131" s="188"/>
      <c r="G131" s="188"/>
      <c r="H131" s="195"/>
      <c r="I131" s="410"/>
      <c r="J131" s="410"/>
      <c r="K131" s="241" t="str">
        <f t="shared" si="15"/>
        <v/>
      </c>
      <c r="L131" s="189"/>
      <c r="M131" s="408"/>
      <c r="N131" s="409"/>
      <c r="O131" s="408"/>
      <c r="P131" s="408"/>
      <c r="Q131" s="408"/>
      <c r="R131" s="237">
        <f t="shared" si="17"/>
        <v>0</v>
      </c>
      <c r="S131" s="403" t="str">
        <f t="shared" si="13"/>
        <v/>
      </c>
      <c r="T131" s="405" t="str">
        <f t="shared" si="18"/>
        <v/>
      </c>
      <c r="U131" s="124"/>
      <c r="V131" s="124"/>
      <c r="W131" s="124"/>
      <c r="X131" s="124"/>
      <c r="Y131" s="124"/>
      <c r="Z131" s="124"/>
      <c r="AA131" s="124"/>
      <c r="AB131" s="124"/>
      <c r="AC131" s="124"/>
      <c r="AD131" s="124"/>
      <c r="AE131" s="124"/>
      <c r="AF131" s="124"/>
      <c r="AG131" s="124"/>
      <c r="AH131" s="124"/>
      <c r="AI131" s="124"/>
      <c r="AJ131" s="124"/>
      <c r="AK131" s="124"/>
      <c r="AL131" s="124"/>
      <c r="AM131" s="19"/>
      <c r="AN131" s="19"/>
    </row>
    <row r="132" spans="1:40" x14ac:dyDescent="0.3">
      <c r="A132" s="19"/>
      <c r="B132" s="156">
        <v>108</v>
      </c>
      <c r="C132" s="240" t="str">
        <f t="shared" si="16"/>
        <v/>
      </c>
      <c r="D132" s="364"/>
      <c r="E132" s="364"/>
      <c r="F132" s="188"/>
      <c r="G132" s="188"/>
      <c r="H132" s="195"/>
      <c r="I132" s="410"/>
      <c r="J132" s="410"/>
      <c r="K132" s="241" t="str">
        <f t="shared" si="15"/>
        <v/>
      </c>
      <c r="L132" s="189"/>
      <c r="M132" s="408"/>
      <c r="N132" s="409"/>
      <c r="O132" s="408"/>
      <c r="P132" s="408"/>
      <c r="Q132" s="408"/>
      <c r="R132" s="237">
        <f t="shared" si="17"/>
        <v>0</v>
      </c>
      <c r="S132" s="403" t="str">
        <f t="shared" si="13"/>
        <v/>
      </c>
      <c r="T132" s="405" t="str">
        <f t="shared" si="18"/>
        <v/>
      </c>
      <c r="U132" s="124"/>
      <c r="V132" s="124"/>
      <c r="W132" s="124"/>
      <c r="X132" s="124"/>
      <c r="Y132" s="124"/>
      <c r="Z132" s="124"/>
      <c r="AA132" s="124"/>
      <c r="AB132" s="124"/>
      <c r="AC132" s="124"/>
      <c r="AD132" s="124"/>
      <c r="AE132" s="124"/>
      <c r="AF132" s="124"/>
      <c r="AG132" s="124"/>
      <c r="AH132" s="124"/>
      <c r="AI132" s="124"/>
      <c r="AJ132" s="124"/>
      <c r="AK132" s="124"/>
      <c r="AL132" s="124"/>
      <c r="AM132" s="19"/>
      <c r="AN132" s="19"/>
    </row>
    <row r="133" spans="1:40" x14ac:dyDescent="0.3">
      <c r="A133" s="19"/>
      <c r="B133" s="156">
        <v>109</v>
      </c>
      <c r="C133" s="240" t="str">
        <f t="shared" si="16"/>
        <v/>
      </c>
      <c r="D133" s="364"/>
      <c r="E133" s="364"/>
      <c r="F133" s="188"/>
      <c r="G133" s="188"/>
      <c r="H133" s="195"/>
      <c r="I133" s="410"/>
      <c r="J133" s="410"/>
      <c r="K133" s="241" t="str">
        <f t="shared" si="15"/>
        <v/>
      </c>
      <c r="L133" s="189"/>
      <c r="M133" s="408"/>
      <c r="N133" s="409"/>
      <c r="O133" s="408"/>
      <c r="P133" s="408"/>
      <c r="Q133" s="408"/>
      <c r="R133" s="237">
        <f t="shared" si="17"/>
        <v>0</v>
      </c>
      <c r="S133" s="403" t="str">
        <f t="shared" si="13"/>
        <v/>
      </c>
      <c r="T133" s="405" t="str">
        <f t="shared" si="18"/>
        <v/>
      </c>
      <c r="U133" s="124"/>
      <c r="V133" s="124"/>
      <c r="W133" s="124"/>
      <c r="X133" s="124"/>
      <c r="Y133" s="124"/>
      <c r="Z133" s="124"/>
      <c r="AA133" s="124"/>
      <c r="AB133" s="124"/>
      <c r="AC133" s="124"/>
      <c r="AD133" s="124"/>
      <c r="AE133" s="124"/>
      <c r="AF133" s="124"/>
      <c r="AG133" s="124"/>
      <c r="AH133" s="124"/>
      <c r="AI133" s="124"/>
      <c r="AJ133" s="124"/>
      <c r="AK133" s="124"/>
      <c r="AL133" s="124"/>
      <c r="AM133" s="19"/>
      <c r="AN133" s="19"/>
    </row>
    <row r="134" spans="1:40" hidden="1" x14ac:dyDescent="0.3">
      <c r="A134" s="19"/>
      <c r="B134" s="23"/>
      <c r="C134" s="19"/>
      <c r="D134" s="19"/>
      <c r="E134" s="19"/>
      <c r="F134" s="19"/>
      <c r="G134" s="19"/>
      <c r="H134" s="19"/>
      <c r="I134" s="19"/>
      <c r="J134" s="19"/>
      <c r="K134" s="19"/>
      <c r="L134" s="19"/>
      <c r="M134" s="19"/>
      <c r="N134" s="19"/>
      <c r="O134" s="19"/>
      <c r="P134" s="19"/>
      <c r="Q134" s="19"/>
      <c r="R134" s="125"/>
      <c r="S134" s="124"/>
      <c r="T134" s="124"/>
      <c r="U134" s="124"/>
      <c r="V134" s="124"/>
      <c r="W134" s="124"/>
      <c r="X134" s="124"/>
      <c r="Y134" s="124"/>
      <c r="Z134" s="124"/>
      <c r="AA134" s="124"/>
      <c r="AB134" s="124"/>
      <c r="AC134" s="124"/>
      <c r="AD134" s="124"/>
      <c r="AE134" s="124"/>
      <c r="AF134" s="124"/>
      <c r="AG134" s="124"/>
      <c r="AH134" s="124"/>
      <c r="AI134" s="124"/>
      <c r="AJ134" s="124"/>
      <c r="AK134" s="124"/>
      <c r="AL134" s="124"/>
      <c r="AM134" s="124"/>
      <c r="AN134" s="124"/>
    </row>
  </sheetData>
  <sheetProtection algorithmName="SHA-512" hashValue="UzuuNl3/yUczQ7CfzTrJp+m5SovX0Zc/PBS7n3P412Lfu+Z3g0FlmUtk35/QWmQL9I1ipp5g+Z00KKCm/K3/Vg==" saltValue="51DkbNuUUR5RNtMWfn3aVA==" spinCount="100000" sheet="1" objects="1" scenarios="1" selectLockedCells="1"/>
  <customSheetViews>
    <customSheetView guid="{E7E6A24F-BA49-4C7A-9CED-3AB8F60308A1}" scale="85" showGridLines="0" printArea="1" topLeftCell="C20">
      <selection activeCell="C29" sqref="C29"/>
      <rowBreaks count="4" manualBreakCount="4">
        <brk id="29" min="1" max="16" man="1"/>
        <brk id="62" min="1" max="16" man="1"/>
        <brk id="83" min="1" max="16" man="1"/>
        <brk id="108" min="1" max="16" man="1"/>
      </rowBreaks>
      <pageMargins left="0.25" right="0.25" top="0.75" bottom="0.75" header="0.3" footer="0.3"/>
      <pageSetup paperSize="5" scale="40" fitToWidth="0" fitToHeight="0" orientation="landscape" r:id="rId1"/>
      <headerFooter>
        <oddFooter>&amp;C&amp;"Arial,Regular"&amp;16Page &amp;P of &amp;N</oddFooter>
      </headerFooter>
    </customSheetView>
    <customSheetView guid="{7E50CCF5-45D0-4F7B-8896-9BA64DCA8A01}" scale="85" showGridLines="0" printArea="1" topLeftCell="G19">
      <selection activeCell="O33" sqref="O33"/>
      <rowBreaks count="4" manualBreakCount="4">
        <brk id="29" min="1" max="16" man="1"/>
        <brk id="62" min="1" max="16" man="1"/>
        <brk id="83" min="1" max="16" man="1"/>
        <brk id="108" min="1" max="16" man="1"/>
      </rowBreaks>
      <pageMargins left="0.25" right="0.25" top="0.75" bottom="0.75" header="0.3" footer="0.3"/>
      <pageSetup paperSize="5" scale="40" fitToWidth="0" fitToHeight="0" orientation="landscape" r:id="rId2"/>
      <headerFooter>
        <oddFooter>&amp;C&amp;"Arial,Regular"&amp;16Page &amp;P of &amp;N</oddFooter>
      </headerFooter>
    </customSheetView>
    <customSheetView guid="{D8D3A042-2CA2-4641-BB44-BC182917D730}" scale="70" showGridLines="0" printArea="1" topLeftCell="A85">
      <selection activeCell="O33" sqref="O33"/>
      <rowBreaks count="4" manualBreakCount="4">
        <brk id="29" min="1" max="16" man="1"/>
        <brk id="62" min="1" max="16" man="1"/>
        <brk id="83" min="1" max="16" man="1"/>
        <brk id="108" min="1" max="16" man="1"/>
      </rowBreaks>
      <pageMargins left="0.25" right="0.25" top="0.75" bottom="0.75" header="0.3" footer="0.3"/>
      <pageSetup paperSize="5" scale="40" fitToWidth="0" fitToHeight="0" orientation="landscape" r:id="rId3"/>
      <headerFooter>
        <oddFooter>&amp;C&amp;"Arial,Regular"&amp;16Page &amp;P of &amp;N</oddFooter>
      </headerFooter>
    </customSheetView>
  </customSheetViews>
  <dataValidations count="30">
    <dataValidation allowBlank="1" showInputMessage="1" showErrorMessage="1" prompt="Type in the Total MHSA Funds (Including Interest) for PEI Funds Transferred to CalHFA." sqref="F20" xr:uid="{00000000-0002-0000-0700-000000000000}"/>
    <dataValidation allowBlank="1" showInputMessage="1" showErrorMessage="1" prompt="Type in the Total MHSA Funds (Including Interest) for PEI Expenditures Incurred by JPA." sqref="F19" xr:uid="{00000000-0002-0000-0700-000001000000}"/>
    <dataValidation allowBlank="1" showInputMessage="1" showErrorMessage="1" prompt="Type in the Total MHSA Funds (Including Interest) for PEI Funds Transferred to JPA." sqref="F18" xr:uid="{00000000-0002-0000-0700-000002000000}"/>
    <dataValidation allowBlank="1" showInputMessage="1" showErrorMessage="1" prompt="Type in the Medi-Cal FFP for PEI Administration Costs. " sqref="G17" xr:uid="{00000000-0002-0000-0700-000005000000}"/>
    <dataValidation allowBlank="1" showInputMessage="1" showErrorMessage="1" prompt="Type in the Medi-Cal FFP for PEI Evaluation Costs. " sqref="G16" xr:uid="{00000000-0002-0000-0700-000006000000}"/>
    <dataValidation allowBlank="1" showInputMessage="1" showErrorMessage="1" prompt="Type in the 1991 Realignment for PEI Administration Costs. " sqref="H17" xr:uid="{00000000-0002-0000-0700-000007000000}"/>
    <dataValidation allowBlank="1" showInputMessage="1" showErrorMessage="1" prompt="Type in the 1991 Realignment for PEI Evaluation Costs." sqref="H16" xr:uid="{00000000-0002-0000-0700-000008000000}"/>
    <dataValidation allowBlank="1" showInputMessage="1" showErrorMessage="1" prompt="Type in the Behavioral Health Subaccount amount for PEI Administration Costs. " sqref="I17" xr:uid="{00000000-0002-0000-0700-000009000000}"/>
    <dataValidation allowBlank="1" showInputMessage="1" showErrorMessage="1" prompt="Type in the Behavioral Health Subaccount amount for PEI Evaluation Costs." sqref="I16" xr:uid="{00000000-0002-0000-0700-00000A000000}"/>
    <dataValidation allowBlank="1" showInputMessage="1" showErrorMessage="1" prompt="Type in Other funds for PEI Administration Costs." sqref="J17" xr:uid="{00000000-0002-0000-0700-00000B000000}"/>
    <dataValidation allowBlank="1" showInputMessage="1" showErrorMessage="1" prompt="Type in Other funds for PEI Evaluation Costs. " sqref="J16" xr:uid="{00000000-0002-0000-0700-00000C000000}"/>
    <dataValidation allowBlank="1" showInputMessage="1" showErrorMessage="1" prompt="Type in Other funds for PEI Annual Planning Costs. " sqref="J15" xr:uid="{00000000-0002-0000-0700-00000D000000}"/>
    <dataValidation allowBlank="1" showInputMessage="1" showErrorMessage="1" prompt="Type in the Behavioral Health Subaccount amount for PEI Annual Planning Costs. " sqref="I15" xr:uid="{00000000-0002-0000-0700-00000E000000}"/>
    <dataValidation allowBlank="1" showInputMessage="1" showErrorMessage="1" prompt="Type in the 1991 Realignment for PEI Annual Planning Costs. " sqref="H15" xr:uid="{00000000-0002-0000-0700-00000F000000}"/>
    <dataValidation allowBlank="1" showInputMessage="1" showErrorMessage="1" prompt="Type in the Medi-Cal FFP for PEI Annual Planning Costs. " sqref="G15" xr:uid="{00000000-0002-0000-0700-000010000000}"/>
    <dataValidation allowBlank="1" showInputMessage="1" showErrorMessage="1" prompt="Type in the Total MHSA Funds (Including Interest) for PEI Annual Planning Costs. " sqref="F15:F17" xr:uid="{00000000-0002-0000-0700-000011000000}"/>
    <dataValidation allowBlank="1" showInputMessage="1" showErrorMessage="1" prompt="Type in Percent Expended for Clients Age 25 and Under for JPA" sqref="F28" xr:uid="{00000000-0002-0000-0700-000012000000}"/>
    <dataValidation allowBlank="1" showInputMessage="1" showErrorMessage="1" prompt="Type in Program Name." sqref="D34:D133" xr:uid="{00000000-0002-0000-0700-000013000000}"/>
    <dataValidation allowBlank="1" showInputMessage="1" showErrorMessage="1" prompt="Type in Prior Program Name." sqref="E34:E133" xr:uid="{00000000-0002-0000-0700-000014000000}"/>
    <dataValidation type="list" allowBlank="1" showInputMessage="1" showErrorMessage="1" prompt="Select whether Combined or Standalone Program from the drop down list. " sqref="F34:F133" xr:uid="{00000000-0002-0000-0700-000015000000}">
      <formula1>PEI_Combined_Standalone</formula1>
    </dataValidation>
    <dataValidation type="list" allowBlank="1" showInputMessage="1" showErrorMessage="1" prompt="Select Program Type from the drop down list. " sqref="G34:G133" xr:uid="{00000000-0002-0000-0700-000016000000}">
      <formula1>PEI_Program_Type</formula1>
    </dataValidation>
    <dataValidation allowBlank="1" showInputMessage="1" showErrorMessage="1" prompt="Type in Program Activity Name (in Combined Program)." sqref="H34:H133" xr:uid="{00000000-0002-0000-0700-000017000000}"/>
    <dataValidation allowBlank="1" showInputMessage="1" showErrorMessage="1" prompt="Type in subtotal percentage for Conbined Program. " sqref="I34:I133" xr:uid="{00000000-0002-0000-0700-000018000000}"/>
    <dataValidation allowBlank="1" showInputMessage="1" showErrorMessage="1" prompt="Type in Percent of PEI Expended on Clients Age 25 and Under (Standalone and Program Activities in Combined Program)" sqref="J34:J133" xr:uid="{00000000-0002-0000-0700-000019000000}"/>
    <dataValidation allowBlank="1" showInputMessage="1" showErrorMessage="1" prompt="Type in Total MHSA Funds (Including Interest)" sqref="L34:L133" xr:uid="{00000000-0002-0000-0700-00001A000000}"/>
    <dataValidation allowBlank="1" showInputMessage="1" showErrorMessage="1" prompt="Type in Medi-Cal FFP" sqref="N34:N133" xr:uid="{00000000-0002-0000-0700-00001B000000}"/>
    <dataValidation allowBlank="1" showInputMessage="1" showErrorMessage="1" prompt="Type in 1991 Realignment." sqref="O34:O133" xr:uid="{00000000-0002-0000-0700-00001C000000}"/>
    <dataValidation allowBlank="1" showInputMessage="1" showErrorMessage="1" prompt="Type in Other Funds. " sqref="Q34:Q133" xr:uid="{00000000-0002-0000-0700-00001E000000}"/>
    <dataValidation allowBlank="1" showInputMessage="1" showErrorMessage="1" prompt="Type in Behavioral Health Subaccount." sqref="P34:P133" xr:uid="{00000000-0002-0000-0700-00001D000000}"/>
    <dataValidation allowBlank="1" showInputMessage="1" showErrorMessage="1" prompt="Type in MHSA IGT" sqref="M34:M133" xr:uid="{26A26BF0-6F91-4C10-AFC4-81E2B31389B0}"/>
  </dataValidations>
  <pageMargins left="0.25" right="0.25" top="0.75" bottom="0.75" header="0.3" footer="0.3"/>
  <pageSetup paperSize="5" scale="40" fitToWidth="0" fitToHeight="0" orientation="landscape" r:id="rId4"/>
  <headerFooter>
    <oddFooter>&amp;C&amp;"Arial,Regular"&amp;16Page &amp;P of &amp;N</oddFooter>
  </headerFooter>
  <rowBreaks count="4" manualBreakCount="4">
    <brk id="29" min="1" max="16" man="1"/>
    <brk id="62" min="1" max="16" man="1"/>
    <brk id="83" min="1" max="16" man="1"/>
    <brk id="108" min="1" max="16"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69"/>
  <sheetViews>
    <sheetView topLeftCell="A28" workbookViewId="0">
      <selection activeCell="A31" sqref="A31"/>
    </sheetView>
  </sheetViews>
  <sheetFormatPr defaultColWidth="0" defaultRowHeight="14.4" zeroHeight="1" x14ac:dyDescent="0.3"/>
  <cols>
    <col min="1" max="1" width="128" style="174" customWidth="1"/>
    <col min="2" max="3" width="9.109375" style="174" hidden="1" customWidth="1"/>
    <col min="4" max="16384" width="9.109375" style="174" hidden="1"/>
  </cols>
  <sheetData>
    <row r="1" spans="1:1" ht="13.5" customHeight="1" x14ac:dyDescent="0.3">
      <c r="A1" s="211" t="s">
        <v>596</v>
      </c>
    </row>
    <row r="2" spans="1:1" ht="15.6" x14ac:dyDescent="0.3">
      <c r="A2" s="172" t="s">
        <v>305</v>
      </c>
    </row>
    <row r="3" spans="1:1" ht="15.6" x14ac:dyDescent="0.3">
      <c r="A3" s="172" t="s">
        <v>304</v>
      </c>
    </row>
    <row r="4" spans="1:1" ht="15.6" x14ac:dyDescent="0.3">
      <c r="A4" s="172" t="s">
        <v>420</v>
      </c>
    </row>
    <row r="5" spans="1:1" ht="15.6" x14ac:dyDescent="0.3">
      <c r="A5" s="172" t="s">
        <v>421</v>
      </c>
    </row>
    <row r="6" spans="1:1" ht="15.6" x14ac:dyDescent="0.3">
      <c r="A6" s="172" t="s">
        <v>422</v>
      </c>
    </row>
    <row r="7" spans="1:1" ht="15.6" x14ac:dyDescent="0.3">
      <c r="A7" s="172" t="s">
        <v>575</v>
      </c>
    </row>
    <row r="8" spans="1:1" ht="45.6" x14ac:dyDescent="0.3">
      <c r="A8" s="172" t="s">
        <v>423</v>
      </c>
    </row>
    <row r="9" spans="1:1" ht="15.6" x14ac:dyDescent="0.3">
      <c r="A9" s="172" t="s">
        <v>411</v>
      </c>
    </row>
    <row r="10" spans="1:1" ht="15.6" x14ac:dyDescent="0.3">
      <c r="A10" s="172" t="s">
        <v>424</v>
      </c>
    </row>
    <row r="11" spans="1:1" ht="15.6" x14ac:dyDescent="0.3">
      <c r="A11" s="172" t="s">
        <v>425</v>
      </c>
    </row>
    <row r="12" spans="1:1" ht="15.6" x14ac:dyDescent="0.3">
      <c r="A12" s="172" t="s">
        <v>426</v>
      </c>
    </row>
    <row r="13" spans="1:1" ht="15.6" x14ac:dyDescent="0.3">
      <c r="A13" s="172" t="s">
        <v>581</v>
      </c>
    </row>
    <row r="14" spans="1:1" ht="15.6" x14ac:dyDescent="0.3">
      <c r="A14" s="172" t="s">
        <v>427</v>
      </c>
    </row>
    <row r="15" spans="1:1" ht="15.6" x14ac:dyDescent="0.3">
      <c r="A15" s="172" t="s">
        <v>406</v>
      </c>
    </row>
    <row r="16" spans="1:1" ht="135.6" x14ac:dyDescent="0.3">
      <c r="A16" s="172" t="s">
        <v>428</v>
      </c>
    </row>
    <row r="17" spans="1:1" ht="15.6" x14ac:dyDescent="0.3">
      <c r="A17" s="172" t="s">
        <v>429</v>
      </c>
    </row>
    <row r="18" spans="1:1" ht="15.6" x14ac:dyDescent="0.3">
      <c r="A18" s="172" t="s">
        <v>430</v>
      </c>
    </row>
    <row r="19" spans="1:1" ht="15.6" x14ac:dyDescent="0.3">
      <c r="A19" s="172" t="s">
        <v>586</v>
      </c>
    </row>
    <row r="20" spans="1:1" ht="15.6" x14ac:dyDescent="0.3">
      <c r="A20" s="172" t="s">
        <v>431</v>
      </c>
    </row>
    <row r="21" spans="1:1" ht="15.6" x14ac:dyDescent="0.3">
      <c r="A21" s="172" t="s">
        <v>432</v>
      </c>
    </row>
    <row r="22" spans="1:1" ht="60.6" x14ac:dyDescent="0.3">
      <c r="A22" s="172" t="s">
        <v>600</v>
      </c>
    </row>
    <row r="23" spans="1:1" ht="15.6" x14ac:dyDescent="0.3">
      <c r="A23" s="172" t="s">
        <v>433</v>
      </c>
    </row>
    <row r="24" spans="1:1" ht="15.6" x14ac:dyDescent="0.3">
      <c r="A24" s="172" t="s">
        <v>434</v>
      </c>
    </row>
    <row r="25" spans="1:1" ht="15.6" x14ac:dyDescent="0.3">
      <c r="A25" s="172" t="s">
        <v>435</v>
      </c>
    </row>
    <row r="26" spans="1:1" ht="15.6" x14ac:dyDescent="0.3">
      <c r="A26" s="172" t="s">
        <v>436</v>
      </c>
    </row>
    <row r="27" spans="1:1" ht="15.6" x14ac:dyDescent="0.3">
      <c r="A27" s="172" t="s">
        <v>437</v>
      </c>
    </row>
    <row r="28" spans="1:1" ht="15.6" x14ac:dyDescent="0.3">
      <c r="A28" s="411" t="s">
        <v>888</v>
      </c>
    </row>
    <row r="29" spans="1:1" ht="15.6" x14ac:dyDescent="0.3">
      <c r="A29" s="172" t="s">
        <v>322</v>
      </c>
    </row>
    <row r="30" spans="1:1" ht="15.6" x14ac:dyDescent="0.3">
      <c r="A30" s="172" t="s">
        <v>403</v>
      </c>
    </row>
    <row r="31" spans="1:1" ht="15.6" x14ac:dyDescent="0.3">
      <c r="A31" s="172" t="s">
        <v>402</v>
      </c>
    </row>
    <row r="32" spans="1:1" ht="15.6" x14ac:dyDescent="0.3">
      <c r="A32" s="172" t="s">
        <v>401</v>
      </c>
    </row>
    <row r="33" spans="1:1" ht="15.6" x14ac:dyDescent="0.3">
      <c r="A33" s="172" t="s">
        <v>400</v>
      </c>
    </row>
    <row r="34" spans="1:1" ht="60.6" x14ac:dyDescent="0.3">
      <c r="A34" s="172" t="s">
        <v>622</v>
      </c>
    </row>
    <row r="35" spans="1:1" ht="15.6" x14ac:dyDescent="0.3">
      <c r="A35" s="172" t="s">
        <v>324</v>
      </c>
    </row>
    <row r="36" spans="1:1" ht="15.6" x14ac:dyDescent="0.3">
      <c r="A36" s="172" t="s">
        <v>398</v>
      </c>
    </row>
    <row r="37" spans="1:1" ht="15.6" x14ac:dyDescent="0.3">
      <c r="A37" s="172" t="s">
        <v>397</v>
      </c>
    </row>
    <row r="38" spans="1:1" ht="15.6" x14ac:dyDescent="0.3">
      <c r="A38" s="172" t="s">
        <v>396</v>
      </c>
    </row>
    <row r="39" spans="1:1" ht="15.6" x14ac:dyDescent="0.3">
      <c r="A39" s="172" t="s">
        <v>623</v>
      </c>
    </row>
    <row r="40" spans="1:1" ht="15.6" x14ac:dyDescent="0.3">
      <c r="A40" s="217" t="s">
        <v>763</v>
      </c>
    </row>
    <row r="41" spans="1:1" ht="15.6" x14ac:dyDescent="0.3">
      <c r="A41" s="217" t="s">
        <v>764</v>
      </c>
    </row>
    <row r="42" spans="1:1" ht="15.6" x14ac:dyDescent="0.3">
      <c r="A42" s="217" t="s">
        <v>765</v>
      </c>
    </row>
    <row r="43" spans="1:1" ht="15.6" x14ac:dyDescent="0.3">
      <c r="A43" s="217" t="s">
        <v>766</v>
      </c>
    </row>
    <row r="44" spans="1:1" ht="15.6" x14ac:dyDescent="0.3">
      <c r="A44" s="217" t="s">
        <v>624</v>
      </c>
    </row>
    <row r="45" spans="1:1" ht="15.6" x14ac:dyDescent="0.3">
      <c r="A45" s="172" t="s">
        <v>625</v>
      </c>
    </row>
    <row r="46" spans="1:1" ht="15.6" x14ac:dyDescent="0.3">
      <c r="A46" s="172" t="s">
        <v>626</v>
      </c>
    </row>
    <row r="47" spans="1:1" ht="15.6" x14ac:dyDescent="0.3">
      <c r="A47" s="172" t="s">
        <v>627</v>
      </c>
    </row>
    <row r="48" spans="1:1" ht="15.6" x14ac:dyDescent="0.3">
      <c r="A48" s="172" t="s">
        <v>628</v>
      </c>
    </row>
    <row r="49" spans="1:1" ht="15.6" x14ac:dyDescent="0.3">
      <c r="A49" s="172" t="s">
        <v>629</v>
      </c>
    </row>
    <row r="50" spans="1:1" ht="15.6" x14ac:dyDescent="0.3">
      <c r="A50" s="172" t="s">
        <v>630</v>
      </c>
    </row>
    <row r="51" spans="1:1" ht="105.6" x14ac:dyDescent="0.3">
      <c r="A51" s="172" t="s">
        <v>631</v>
      </c>
    </row>
    <row r="52" spans="1:1" ht="30.6" x14ac:dyDescent="0.3">
      <c r="A52" s="221" t="s">
        <v>779</v>
      </c>
    </row>
    <row r="53" spans="1:1" ht="45.6" x14ac:dyDescent="0.3">
      <c r="A53" s="172" t="s">
        <v>632</v>
      </c>
    </row>
    <row r="54" spans="1:1" ht="90.6" x14ac:dyDescent="0.3">
      <c r="A54" s="172" t="s">
        <v>633</v>
      </c>
    </row>
    <row r="55" spans="1:1" ht="75" x14ac:dyDescent="0.3">
      <c r="A55" s="218" t="s">
        <v>634</v>
      </c>
    </row>
    <row r="56" spans="1:1" ht="60.6" x14ac:dyDescent="0.3">
      <c r="A56" s="172" t="s">
        <v>635</v>
      </c>
    </row>
    <row r="57" spans="1:1" ht="105.6" x14ac:dyDescent="0.3">
      <c r="A57" s="172" t="s">
        <v>636</v>
      </c>
    </row>
    <row r="58" spans="1:1" ht="30.6" x14ac:dyDescent="0.3">
      <c r="A58" s="172" t="s">
        <v>637</v>
      </c>
    </row>
    <row r="59" spans="1:1" ht="60.6" x14ac:dyDescent="0.3">
      <c r="A59" s="172" t="s">
        <v>638</v>
      </c>
    </row>
    <row r="60" spans="1:1" ht="82.5" customHeight="1" x14ac:dyDescent="0.3">
      <c r="A60" s="172" t="s">
        <v>639</v>
      </c>
    </row>
    <row r="61" spans="1:1" ht="45.6" x14ac:dyDescent="0.3">
      <c r="A61" s="172" t="s">
        <v>640</v>
      </c>
    </row>
    <row r="62" spans="1:1" ht="45.6" x14ac:dyDescent="0.3">
      <c r="A62" s="172" t="s">
        <v>641</v>
      </c>
    </row>
    <row r="63" spans="1:1" ht="60.6" x14ac:dyDescent="0.3">
      <c r="A63" s="219" t="s">
        <v>742</v>
      </c>
    </row>
    <row r="64" spans="1:1" ht="45.6" x14ac:dyDescent="0.3">
      <c r="A64" s="222" t="s">
        <v>718</v>
      </c>
    </row>
    <row r="65" spans="1:1" ht="45.6" x14ac:dyDescent="0.3">
      <c r="A65" s="222" t="s">
        <v>719</v>
      </c>
    </row>
    <row r="66" spans="1:1" ht="45.6" x14ac:dyDescent="0.3">
      <c r="A66" s="222" t="s">
        <v>720</v>
      </c>
    </row>
    <row r="67" spans="1:1" ht="30.6" x14ac:dyDescent="0.3">
      <c r="A67" s="172" t="s">
        <v>642</v>
      </c>
    </row>
    <row r="68" spans="1:1" ht="31.2" x14ac:dyDescent="0.3">
      <c r="A68" s="172" t="s">
        <v>643</v>
      </c>
    </row>
    <row r="69" spans="1:1" ht="15.6" hidden="1" x14ac:dyDescent="0.3">
      <c r="A69" s="172"/>
    </row>
  </sheetData>
  <sheetProtection algorithmName="SHA-512" hashValue="7MAnIdntGzglPvb8Nxeb1tN8QXBTSL2gZhmLZiH/1SWCO9jGMHxyT070mtRgiMMjQg8+ktuBsgfYt0D0trQajg==" saltValue="Xi/f2O9QtgdoSnX/aX6xHQ==" spinCount="100000" sheet="1" objects="1" scenarios="1" selectLockedCells="1"/>
  <pageMargins left="0.7" right="0.7" top="0.75" bottom="0.75" header="0.3" footer="0.3"/>
  <pageSetup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pageSetUpPr autoPageBreaks="0"/>
  </sheetPr>
  <dimension ref="A1:R128"/>
  <sheetViews>
    <sheetView showGridLines="0" topLeftCell="A27" zoomScale="82" zoomScaleNormal="82" zoomScaleSheetLayoutView="40" workbookViewId="0">
      <selection activeCell="A42" sqref="A42"/>
    </sheetView>
  </sheetViews>
  <sheetFormatPr defaultColWidth="0" defaultRowHeight="15" zeroHeight="1" x14ac:dyDescent="0.25"/>
  <cols>
    <col min="1" max="1" width="2.6640625" style="264" customWidth="1"/>
    <col min="2" max="2" width="6.6640625" style="369" customWidth="1"/>
    <col min="3" max="3" width="9.5546875" style="369" customWidth="1"/>
    <col min="4" max="4" width="9.44140625" style="369" bestFit="1" customWidth="1"/>
    <col min="5" max="5" width="55.109375" style="369" customWidth="1"/>
    <col min="6" max="7" width="17.6640625" style="369" customWidth="1"/>
    <col min="8" max="8" width="31" style="369" bestFit="1" customWidth="1"/>
    <col min="9" max="9" width="24.88671875" style="369" customWidth="1"/>
    <col min="10" max="10" width="24.44140625" style="369" bestFit="1" customWidth="1"/>
    <col min="11" max="11" width="24.44140625" style="369" customWidth="1"/>
    <col min="12" max="12" width="25.109375" style="369" bestFit="1" customWidth="1"/>
    <col min="13" max="13" width="26.5546875" style="369" customWidth="1"/>
    <col min="14" max="14" width="21.109375" style="369" bestFit="1" customWidth="1"/>
    <col min="15" max="15" width="20.109375" style="369" bestFit="1" customWidth="1"/>
    <col min="16" max="16" width="20.109375" style="369" customWidth="1"/>
    <col min="17" max="17" width="17.6640625" style="369" customWidth="1"/>
    <col min="18" max="18" width="18" style="264" bestFit="1" customWidth="1"/>
    <col min="19" max="16384" width="9.109375" style="264" hidden="1"/>
  </cols>
  <sheetData>
    <row r="1" spans="1:18" s="205" customFormat="1" x14ac:dyDescent="0.25">
      <c r="A1" s="262" t="s">
        <v>754</v>
      </c>
      <c r="B1" s="263" t="s">
        <v>270</v>
      </c>
      <c r="C1" s="264"/>
      <c r="D1" s="264"/>
      <c r="E1" s="280"/>
      <c r="H1" s="264"/>
      <c r="I1" s="280"/>
      <c r="K1" s="264"/>
      <c r="L1" s="280"/>
      <c r="Q1" s="280" t="s">
        <v>268</v>
      </c>
    </row>
    <row r="2" spans="1:18" s="205" customFormat="1" ht="15.6" thickBot="1" x14ac:dyDescent="0.3">
      <c r="B2" s="266" t="s">
        <v>269</v>
      </c>
      <c r="C2" s="267"/>
      <c r="D2" s="267"/>
      <c r="E2" s="268"/>
      <c r="F2" s="267"/>
      <c r="G2" s="267"/>
      <c r="H2" s="267"/>
      <c r="I2" s="268"/>
      <c r="J2" s="267"/>
      <c r="K2" s="267"/>
      <c r="L2" s="268"/>
      <c r="M2" s="267"/>
      <c r="N2" s="267"/>
      <c r="O2" s="267"/>
      <c r="P2" s="267"/>
      <c r="Q2" s="268"/>
    </row>
    <row r="3" spans="1:18" x14ac:dyDescent="0.25">
      <c r="B3" s="366"/>
      <c r="C3" s="366"/>
      <c r="D3" s="366"/>
    </row>
    <row r="4" spans="1:18" s="269" customFormat="1" x14ac:dyDescent="0.25">
      <c r="B4" s="270" t="s">
        <v>784</v>
      </c>
    </row>
    <row r="5" spans="1:18" ht="17.399999999999999" x14ac:dyDescent="0.3">
      <c r="B5" s="412" t="str">
        <f>'1. Information'!B5</f>
        <v>Annual Mental Health Services Act (MHSA) Revenue and Expenditure Report</v>
      </c>
      <c r="C5" s="413"/>
      <c r="D5" s="413"/>
      <c r="E5" s="413"/>
      <c r="F5" s="413"/>
      <c r="G5" s="413"/>
      <c r="H5" s="413"/>
      <c r="I5" s="413"/>
      <c r="J5" s="413"/>
      <c r="K5" s="414"/>
      <c r="L5" s="413"/>
      <c r="M5" s="413"/>
      <c r="N5" s="413"/>
      <c r="O5" s="413"/>
      <c r="P5" s="413"/>
      <c r="Q5" s="264"/>
    </row>
    <row r="6" spans="1:18" ht="17.399999999999999" x14ac:dyDescent="0.25">
      <c r="B6" s="415" t="str">
        <f>'1. Information'!B6</f>
        <v>Fiscal Year: 2023-24</v>
      </c>
      <c r="C6" s="416"/>
      <c r="D6" s="416"/>
      <c r="E6" s="416"/>
      <c r="F6" s="416"/>
      <c r="G6" s="416"/>
      <c r="H6" s="416"/>
      <c r="I6" s="416"/>
      <c r="J6" s="416"/>
      <c r="K6" s="417"/>
      <c r="L6" s="416"/>
      <c r="M6" s="416"/>
      <c r="N6" s="416"/>
      <c r="O6" s="416"/>
      <c r="P6" s="416"/>
      <c r="Q6" s="264"/>
    </row>
    <row r="7" spans="1:18" ht="17.399999999999999" x14ac:dyDescent="0.3">
      <c r="B7" s="412" t="s">
        <v>285</v>
      </c>
      <c r="C7" s="413"/>
      <c r="D7" s="413"/>
      <c r="E7" s="413"/>
      <c r="F7" s="413"/>
      <c r="G7" s="413"/>
      <c r="H7" s="413"/>
      <c r="I7" s="413"/>
      <c r="J7" s="413"/>
      <c r="K7" s="414"/>
      <c r="L7" s="413"/>
      <c r="M7" s="413"/>
      <c r="N7" s="413"/>
      <c r="O7" s="413"/>
      <c r="P7" s="413"/>
      <c r="Q7" s="264"/>
    </row>
    <row r="8" spans="1:18" ht="15.6" x14ac:dyDescent="0.3">
      <c r="C8" s="414"/>
      <c r="D8" s="414"/>
      <c r="E8" s="414"/>
      <c r="F8" s="414"/>
      <c r="G8" s="414"/>
      <c r="H8" s="414"/>
      <c r="I8" s="414"/>
      <c r="J8" s="414"/>
      <c r="K8" s="414"/>
      <c r="L8" s="414"/>
      <c r="M8" s="413"/>
      <c r="N8" s="413"/>
      <c r="O8" s="413"/>
      <c r="P8" s="413"/>
      <c r="Q8" s="413"/>
    </row>
    <row r="9" spans="1:18" ht="15.6" x14ac:dyDescent="0.3">
      <c r="B9" s="318" t="s">
        <v>0</v>
      </c>
      <c r="C9" s="338"/>
      <c r="D9" s="339"/>
      <c r="E9" s="206" t="str">
        <f>IF(ISBLANK('1. Information'!D11),"",'1. Information'!D11)</f>
        <v>Marin</v>
      </c>
      <c r="G9" s="319" t="s">
        <v>1</v>
      </c>
      <c r="H9" s="210">
        <f>IF(ISBLANK('1. Information'!D9),"",'1. Information'!D9)</f>
        <v>45684</v>
      </c>
      <c r="I9" s="370"/>
      <c r="J9" s="370"/>
      <c r="K9" s="414"/>
      <c r="L9" s="414"/>
      <c r="M9" s="414"/>
      <c r="N9" s="414"/>
      <c r="O9" s="414"/>
      <c r="P9" s="414"/>
      <c r="Q9" s="414"/>
      <c r="R9" s="414"/>
    </row>
    <row r="10" spans="1:18" ht="15.6" x14ac:dyDescent="0.3">
      <c r="B10" s="322"/>
      <c r="C10" s="322"/>
      <c r="D10" s="322"/>
      <c r="F10" s="322"/>
      <c r="G10" s="370"/>
      <c r="H10" s="370"/>
      <c r="I10" s="370"/>
      <c r="J10" s="414"/>
      <c r="K10" s="414"/>
      <c r="L10" s="414"/>
      <c r="M10" s="414"/>
      <c r="N10" s="414"/>
      <c r="O10" s="414"/>
      <c r="P10" s="414"/>
      <c r="Q10" s="414"/>
    </row>
    <row r="11" spans="1:18" ht="18" thickBot="1" x14ac:dyDescent="0.35">
      <c r="B11" s="418" t="s">
        <v>211</v>
      </c>
      <c r="C11" s="325"/>
      <c r="D11" s="325"/>
      <c r="E11" s="373"/>
      <c r="F11" s="371"/>
      <c r="G11" s="371"/>
      <c r="H11" s="372"/>
      <c r="I11" s="372"/>
      <c r="J11" s="419"/>
      <c r="K11" s="419"/>
      <c r="L11" s="414"/>
      <c r="M11" s="414"/>
      <c r="N11" s="414"/>
      <c r="O11" s="316"/>
      <c r="P11" s="316"/>
      <c r="Q11" s="414"/>
    </row>
    <row r="12" spans="1:18" ht="16.2" thickTop="1" x14ac:dyDescent="0.3">
      <c r="B12" s="420"/>
      <c r="C12" s="322"/>
      <c r="D12" s="322"/>
      <c r="F12" s="264"/>
      <c r="G12" s="264"/>
      <c r="H12" s="370"/>
      <c r="I12" s="370"/>
      <c r="J12" s="414"/>
      <c r="K12" s="414"/>
      <c r="L12" s="414"/>
      <c r="M12" s="414"/>
      <c r="N12" s="414"/>
      <c r="O12" s="316"/>
      <c r="P12" s="316"/>
      <c r="Q12" s="414"/>
    </row>
    <row r="13" spans="1:18" ht="15.6" x14ac:dyDescent="0.3">
      <c r="B13" s="322"/>
      <c r="C13" s="322"/>
      <c r="D13" s="322"/>
      <c r="F13" s="291" t="s">
        <v>22</v>
      </c>
      <c r="G13" s="331" t="s">
        <v>23</v>
      </c>
      <c r="H13" s="375" t="s">
        <v>25</v>
      </c>
      <c r="I13" s="375" t="s">
        <v>199</v>
      </c>
      <c r="J13" s="389" t="s">
        <v>200</v>
      </c>
      <c r="K13" s="291" t="s">
        <v>201</v>
      </c>
      <c r="L13" s="421"/>
      <c r="M13" s="316"/>
      <c r="N13" s="316"/>
      <c r="O13" s="264"/>
      <c r="P13" s="264"/>
      <c r="Q13" s="264"/>
    </row>
    <row r="14" spans="1:18" ht="65.25" customHeight="1" x14ac:dyDescent="0.3">
      <c r="B14" s="264"/>
      <c r="C14" s="422"/>
      <c r="D14" s="422"/>
      <c r="E14" s="422"/>
      <c r="F14" s="377" t="s">
        <v>287</v>
      </c>
      <c r="G14" s="423" t="s">
        <v>4</v>
      </c>
      <c r="H14" s="378" t="s">
        <v>5</v>
      </c>
      <c r="I14" s="378" t="s">
        <v>24</v>
      </c>
      <c r="J14" s="378" t="s">
        <v>12</v>
      </c>
      <c r="K14" s="397" t="s">
        <v>216</v>
      </c>
      <c r="L14" s="316"/>
      <c r="M14" s="316"/>
      <c r="N14" s="316"/>
      <c r="O14" s="264"/>
      <c r="P14" s="264"/>
      <c r="Q14" s="264"/>
    </row>
    <row r="15" spans="1:18" ht="15.6" x14ac:dyDescent="0.3">
      <c r="B15" s="400">
        <v>1</v>
      </c>
      <c r="C15" s="424" t="s">
        <v>139</v>
      </c>
      <c r="D15" s="338"/>
      <c r="E15" s="341"/>
      <c r="F15" s="185">
        <v>0</v>
      </c>
      <c r="G15" s="185"/>
      <c r="H15" s="185"/>
      <c r="I15" s="185"/>
      <c r="J15" s="185"/>
      <c r="K15" s="337">
        <f>SUM(F15:J15)</f>
        <v>0</v>
      </c>
      <c r="L15" s="316"/>
      <c r="M15" s="316"/>
      <c r="N15" s="316"/>
      <c r="O15" s="264"/>
      <c r="P15" s="264"/>
      <c r="Q15" s="264"/>
    </row>
    <row r="16" spans="1:18" ht="15.6" x14ac:dyDescent="0.3">
      <c r="B16" s="400">
        <v>2</v>
      </c>
      <c r="C16" s="424" t="s">
        <v>140</v>
      </c>
      <c r="D16" s="338"/>
      <c r="E16" s="341"/>
      <c r="F16" s="185">
        <f>114573.89</f>
        <v>114573.89</v>
      </c>
      <c r="G16" s="185"/>
      <c r="H16" s="185"/>
      <c r="I16" s="185"/>
      <c r="J16" s="185"/>
      <c r="K16" s="337">
        <f>SUM(F16:J16)</f>
        <v>114573.89</v>
      </c>
      <c r="L16" s="316"/>
      <c r="M16" s="316"/>
      <c r="N16" s="316"/>
      <c r="O16" s="264"/>
      <c r="P16" s="264"/>
      <c r="Q16" s="264"/>
    </row>
    <row r="17" spans="2:18" ht="15.6" x14ac:dyDescent="0.3">
      <c r="B17" s="400">
        <v>3</v>
      </c>
      <c r="C17" s="425" t="s">
        <v>232</v>
      </c>
      <c r="D17" s="341"/>
      <c r="E17" s="341"/>
      <c r="F17" s="185"/>
      <c r="G17" s="426"/>
      <c r="H17" s="427"/>
      <c r="I17" s="427"/>
      <c r="J17" s="427"/>
      <c r="K17" s="340">
        <f>F17</f>
        <v>0</v>
      </c>
      <c r="L17" s="316"/>
      <c r="M17" s="316"/>
      <c r="N17" s="316"/>
      <c r="O17" s="264"/>
      <c r="P17" s="264"/>
      <c r="Q17" s="264"/>
    </row>
    <row r="18" spans="2:18" ht="15.6" x14ac:dyDescent="0.3">
      <c r="B18" s="400">
        <v>4</v>
      </c>
      <c r="C18" s="425" t="s">
        <v>286</v>
      </c>
      <c r="D18" s="341"/>
      <c r="E18" s="341"/>
      <c r="F18" s="185">
        <v>237459</v>
      </c>
      <c r="G18" s="428"/>
      <c r="H18" s="429"/>
      <c r="I18" s="429"/>
      <c r="J18" s="429"/>
      <c r="K18" s="340">
        <f>F18</f>
        <v>237459</v>
      </c>
      <c r="L18" s="316"/>
      <c r="M18" s="316"/>
      <c r="N18" s="316"/>
      <c r="O18" s="264"/>
      <c r="P18" s="264"/>
      <c r="Q18" s="264"/>
    </row>
    <row r="19" spans="2:18" ht="15.6" x14ac:dyDescent="0.3">
      <c r="B19" s="400">
        <v>5</v>
      </c>
      <c r="C19" s="424" t="s">
        <v>141</v>
      </c>
      <c r="D19" s="338"/>
      <c r="E19" s="339"/>
      <c r="F19" s="427">
        <f>SUMIF($K$29:$K$128,"Project Administration",L$29:L$128) + + SUMIF($K$29:$K$128, "Project Administration", M$29:M$128)</f>
        <v>56897.159999999996</v>
      </c>
      <c r="G19" s="426">
        <f>SUMIF($K$29:$K$128,"Project Administration",N$29:N$128)</f>
        <v>0</v>
      </c>
      <c r="H19" s="427">
        <f>SUMIF($K$29:$K$128,"Project Administration",O$29:O$128)</f>
        <v>0</v>
      </c>
      <c r="I19" s="427">
        <f>SUMIF($K$29:$K$128,"Project Administration",P$29:P$128)</f>
        <v>0</v>
      </c>
      <c r="J19" s="427">
        <f>SUMIF($K$29:$K$128,"Project Administration",Q$29:Q$128)</f>
        <v>0</v>
      </c>
      <c r="K19" s="340">
        <f t="shared" ref="K19:K23" si="0">SUM(F19:J19)</f>
        <v>56897.159999999996</v>
      </c>
      <c r="L19" s="316"/>
      <c r="M19" s="316"/>
      <c r="N19" s="316"/>
      <c r="O19" s="264"/>
      <c r="P19" s="264"/>
      <c r="Q19" s="264"/>
    </row>
    <row r="20" spans="2:18" ht="15.6" x14ac:dyDescent="0.3">
      <c r="B20" s="400">
        <v>6</v>
      </c>
      <c r="C20" s="424" t="s">
        <v>142</v>
      </c>
      <c r="D20" s="338"/>
      <c r="E20" s="339"/>
      <c r="F20" s="429">
        <f>SUMIF($K$29:$K$128,"Project Evaluation",L$29:L$128) + + SUMIF($K$29:$K$128, "Project Evaluation", M$29:M$128)</f>
        <v>143622.12</v>
      </c>
      <c r="G20" s="428">
        <f>SUMIF($K$29:$K$128,"Project Evaluation",N$29:N$128)</f>
        <v>0</v>
      </c>
      <c r="H20" s="429">
        <f>SUMIF($K$29:$K$128,"Project Evaluation",O$29:O$128)</f>
        <v>0</v>
      </c>
      <c r="I20" s="429">
        <f>SUMIF($K$29:$K$128,"Project Evaluation",P$29:P$128)</f>
        <v>0</v>
      </c>
      <c r="J20" s="429">
        <f>SUMIF($K$29:$K$128,"Project Evaluation",Q$29:Q$128)</f>
        <v>0</v>
      </c>
      <c r="K20" s="340">
        <f>SUM(F20:J20)</f>
        <v>143622.12</v>
      </c>
      <c r="L20" s="316"/>
      <c r="M20" s="316"/>
      <c r="N20" s="316"/>
      <c r="O20" s="264"/>
      <c r="P20" s="264"/>
      <c r="Q20" s="264"/>
    </row>
    <row r="21" spans="2:18" ht="15.6" x14ac:dyDescent="0.3">
      <c r="B21" s="400">
        <v>7</v>
      </c>
      <c r="C21" s="424" t="s">
        <v>193</v>
      </c>
      <c r="D21" s="338"/>
      <c r="E21" s="339"/>
      <c r="F21" s="429">
        <f>SUMIF($K$29:$K$128,"Project Direct",L$29:L$128) + + SUMIF($K$29:$K$128, "Project Direct", M$29:M$128)</f>
        <v>1062780.17</v>
      </c>
      <c r="G21" s="428">
        <f>SUMIF($K$29:$K$128,"Project Direct",N$29:N$128)</f>
        <v>31699.200000000001</v>
      </c>
      <c r="H21" s="429">
        <f>SUMIF($K$29:$K$128,"Project Direct",O$29:O$128)</f>
        <v>0</v>
      </c>
      <c r="I21" s="429">
        <f>SUMIF($K$29:$K$128,"Project Direct",P$29:P$128)</f>
        <v>0</v>
      </c>
      <c r="J21" s="429">
        <f>SUMIF($K$29:$K$128,"Project Direct",Q$29:Q$128)</f>
        <v>0</v>
      </c>
      <c r="K21" s="340">
        <f t="shared" si="0"/>
        <v>1094479.3699999999</v>
      </c>
      <c r="L21" s="316"/>
      <c r="M21" s="316"/>
      <c r="N21" s="316"/>
      <c r="O21" s="264"/>
      <c r="P21" s="264"/>
      <c r="Q21" s="264"/>
    </row>
    <row r="22" spans="2:18" ht="15.6" x14ac:dyDescent="0.3">
      <c r="B22" s="400">
        <v>8</v>
      </c>
      <c r="C22" s="424" t="s">
        <v>143</v>
      </c>
      <c r="D22" s="430"/>
      <c r="F22" s="431">
        <f>SUM(F19:F21)</f>
        <v>1263299.45</v>
      </c>
      <c r="G22" s="432">
        <f>SUM(G19:G21)</f>
        <v>31699.200000000001</v>
      </c>
      <c r="H22" s="431">
        <f>SUM(H19:H21)</f>
        <v>0</v>
      </c>
      <c r="I22" s="431">
        <f>SUM(I19:I21)</f>
        <v>0</v>
      </c>
      <c r="J22" s="431">
        <f t="shared" ref="J22" si="1">SUM(J19:J21)</f>
        <v>0</v>
      </c>
      <c r="K22" s="340">
        <f t="shared" si="0"/>
        <v>1294998.6499999999</v>
      </c>
      <c r="L22" s="316"/>
      <c r="M22" s="316"/>
      <c r="N22" s="316"/>
      <c r="O22" s="264"/>
      <c r="P22" s="264"/>
      <c r="Q22" s="264"/>
    </row>
    <row r="23" spans="2:18" ht="30.9" customHeight="1" x14ac:dyDescent="0.3">
      <c r="B23" s="400">
        <v>9</v>
      </c>
      <c r="C23" s="433" t="s">
        <v>233</v>
      </c>
      <c r="D23" s="434"/>
      <c r="E23" s="435"/>
      <c r="F23" s="436">
        <f>SUM(F15:F16,F18:F21)</f>
        <v>1615332.3399999999</v>
      </c>
      <c r="G23" s="436">
        <f>SUM(G15:G16,G19:G21)</f>
        <v>31699.200000000001</v>
      </c>
      <c r="H23" s="436">
        <f>SUM(H15:H16,H19:H21)</f>
        <v>0</v>
      </c>
      <c r="I23" s="436">
        <f>SUM(I15:I16,I19:I21)</f>
        <v>0</v>
      </c>
      <c r="J23" s="436">
        <f>SUM(J15:J16,J19:J21)</f>
        <v>0</v>
      </c>
      <c r="K23" s="384">
        <f t="shared" si="0"/>
        <v>1647031.5399999998</v>
      </c>
      <c r="L23" s="316"/>
      <c r="M23" s="316"/>
      <c r="N23" s="316"/>
      <c r="O23" s="264"/>
      <c r="P23" s="264"/>
      <c r="Q23" s="264"/>
    </row>
    <row r="24" spans="2:18" x14ac:dyDescent="0.25">
      <c r="B24" s="264"/>
      <c r="C24" s="264"/>
      <c r="D24" s="264"/>
      <c r="E24" s="264"/>
      <c r="F24" s="264"/>
      <c r="G24" s="264"/>
      <c r="H24" s="264"/>
      <c r="I24" s="264"/>
      <c r="J24" s="264"/>
      <c r="K24" s="264"/>
      <c r="L24" s="264"/>
      <c r="M24" s="264"/>
      <c r="N24" s="264"/>
      <c r="O24" s="264"/>
      <c r="P24" s="264"/>
      <c r="Q24" s="264"/>
    </row>
    <row r="25" spans="2:18" ht="18" thickBot="1" x14ac:dyDescent="0.35">
      <c r="B25" s="352" t="s">
        <v>212</v>
      </c>
      <c r="C25" s="371"/>
      <c r="D25" s="371"/>
      <c r="E25" s="371"/>
      <c r="F25" s="371"/>
      <c r="G25" s="371"/>
      <c r="H25" s="371"/>
      <c r="I25" s="371"/>
      <c r="J25" s="371"/>
      <c r="K25" s="371"/>
      <c r="L25" s="371"/>
      <c r="M25" s="371"/>
      <c r="N25" s="371"/>
      <c r="O25" s="371"/>
      <c r="P25" s="371"/>
      <c r="Q25" s="371"/>
      <c r="R25" s="371"/>
    </row>
    <row r="26" spans="2:18" ht="15.6" thickTop="1" x14ac:dyDescent="0.25">
      <c r="B26" s="264"/>
      <c r="C26" s="264"/>
      <c r="D26" s="264"/>
      <c r="E26" s="264"/>
      <c r="F26" s="264"/>
      <c r="G26" s="264"/>
      <c r="H26" s="264"/>
      <c r="I26" s="264"/>
      <c r="J26" s="264"/>
      <c r="K26" s="264"/>
      <c r="L26" s="264"/>
      <c r="M26" s="264"/>
      <c r="N26" s="264"/>
      <c r="O26" s="264"/>
      <c r="P26" s="264"/>
      <c r="Q26" s="264"/>
    </row>
    <row r="27" spans="2:18" x14ac:dyDescent="0.25">
      <c r="B27" s="264"/>
      <c r="C27" s="264"/>
      <c r="D27" s="400" t="s">
        <v>22</v>
      </c>
      <c r="E27" s="400" t="s">
        <v>23</v>
      </c>
      <c r="F27" s="400" t="s">
        <v>25</v>
      </c>
      <c r="G27" s="400" t="s">
        <v>199</v>
      </c>
      <c r="H27" s="400" t="s">
        <v>200</v>
      </c>
      <c r="I27" s="400" t="s">
        <v>201</v>
      </c>
      <c r="J27" s="400" t="s">
        <v>210</v>
      </c>
      <c r="K27" s="400" t="s">
        <v>202</v>
      </c>
      <c r="L27" s="291" t="s">
        <v>203</v>
      </c>
      <c r="M27" s="330" t="s">
        <v>204</v>
      </c>
      <c r="N27" s="330" t="s">
        <v>205</v>
      </c>
      <c r="O27" s="437" t="s">
        <v>206</v>
      </c>
      <c r="P27" s="437" t="s">
        <v>207</v>
      </c>
      <c r="Q27" s="291" t="s">
        <v>208</v>
      </c>
      <c r="R27" s="291" t="s">
        <v>209</v>
      </c>
    </row>
    <row r="28" spans="2:18" ht="46.8" x14ac:dyDescent="0.25">
      <c r="B28" s="438" t="s">
        <v>117</v>
      </c>
      <c r="C28" s="438"/>
      <c r="D28" s="333" t="s">
        <v>165</v>
      </c>
      <c r="E28" s="439" t="s">
        <v>10</v>
      </c>
      <c r="F28" s="378" t="s">
        <v>15</v>
      </c>
      <c r="G28" s="378" t="s">
        <v>133</v>
      </c>
      <c r="H28" s="378" t="s">
        <v>11</v>
      </c>
      <c r="I28" s="378" t="s">
        <v>130</v>
      </c>
      <c r="J28" s="378" t="s">
        <v>131</v>
      </c>
      <c r="K28" s="378" t="s">
        <v>132</v>
      </c>
      <c r="L28" s="377" t="s">
        <v>276</v>
      </c>
      <c r="M28" s="395" t="s">
        <v>602</v>
      </c>
      <c r="N28" s="396" t="s">
        <v>4</v>
      </c>
      <c r="O28" s="395" t="s">
        <v>5</v>
      </c>
      <c r="P28" s="395" t="s">
        <v>24</v>
      </c>
      <c r="Q28" s="440" t="s">
        <v>12</v>
      </c>
      <c r="R28" s="397" t="s">
        <v>216</v>
      </c>
    </row>
    <row r="29" spans="2:18" x14ac:dyDescent="0.25">
      <c r="B29" s="390">
        <v>10</v>
      </c>
      <c r="C29" s="392" t="s">
        <v>22</v>
      </c>
      <c r="D29" s="441">
        <f>IF(R32&lt;&gt;0,VLOOKUP($E$9,Info_County_Code,2,FALSE),"")</f>
        <v>21</v>
      </c>
      <c r="E29" s="186" t="s">
        <v>800</v>
      </c>
      <c r="F29" s="255" t="s">
        <v>886</v>
      </c>
      <c r="G29" s="204">
        <v>43350</v>
      </c>
      <c r="H29" s="204">
        <v>43466</v>
      </c>
      <c r="I29" s="194">
        <v>1580000</v>
      </c>
      <c r="J29" s="194"/>
      <c r="K29" s="442" t="s">
        <v>137</v>
      </c>
      <c r="L29" s="194">
        <v>15947.81</v>
      </c>
      <c r="M29" s="194"/>
      <c r="N29" s="194"/>
      <c r="O29" s="194"/>
      <c r="P29" s="194"/>
      <c r="Q29" s="194"/>
      <c r="R29" s="340">
        <f t="shared" ref="R29:R60" si="2">SUM(L29:Q29)</f>
        <v>15947.81</v>
      </c>
    </row>
    <row r="30" spans="2:18" x14ac:dyDescent="0.25">
      <c r="B30" s="390">
        <v>10</v>
      </c>
      <c r="C30" s="291" t="s">
        <v>23</v>
      </c>
      <c r="D30" s="441">
        <f t="shared" ref="D30:J31" si="3">IF(ISBLANK(D29),"",D29)</f>
        <v>21</v>
      </c>
      <c r="E30" s="443" t="str">
        <f t="shared" si="3"/>
        <v>Older Adult Technology Suite: Help @ Hand</v>
      </c>
      <c r="F30" s="444" t="str">
        <f t="shared" si="3"/>
        <v>Technology Suite Collaborative Innovation Plan</v>
      </c>
      <c r="G30" s="444">
        <f t="shared" si="3"/>
        <v>43350</v>
      </c>
      <c r="H30" s="444">
        <f t="shared" si="3"/>
        <v>43466</v>
      </c>
      <c r="I30" s="382">
        <f t="shared" si="3"/>
        <v>1580000</v>
      </c>
      <c r="J30" s="382" t="str">
        <f t="shared" si="3"/>
        <v/>
      </c>
      <c r="K30" s="382" t="s">
        <v>138</v>
      </c>
      <c r="L30" s="194"/>
      <c r="M30" s="194"/>
      <c r="N30" s="194"/>
      <c r="O30" s="194"/>
      <c r="P30" s="194"/>
      <c r="Q30" s="194"/>
      <c r="R30" s="340">
        <f t="shared" si="2"/>
        <v>0</v>
      </c>
    </row>
    <row r="31" spans="2:18" x14ac:dyDescent="0.25">
      <c r="B31" s="390">
        <v>10</v>
      </c>
      <c r="C31" s="291" t="s">
        <v>25</v>
      </c>
      <c r="D31" s="441">
        <f t="shared" ref="D31:I31" si="4">IF(ISBLANK(D29),"",D29)</f>
        <v>21</v>
      </c>
      <c r="E31" s="443" t="str">
        <f t="shared" si="4"/>
        <v>Older Adult Technology Suite: Help @ Hand</v>
      </c>
      <c r="F31" s="444" t="str">
        <f t="shared" si="4"/>
        <v>Technology Suite Collaborative Innovation Plan</v>
      </c>
      <c r="G31" s="444">
        <f t="shared" si="4"/>
        <v>43350</v>
      </c>
      <c r="H31" s="444">
        <f t="shared" si="4"/>
        <v>43466</v>
      </c>
      <c r="I31" s="382">
        <f t="shared" si="4"/>
        <v>1580000</v>
      </c>
      <c r="J31" s="382" t="str">
        <f t="shared" si="3"/>
        <v/>
      </c>
      <c r="K31" s="382" t="s">
        <v>194</v>
      </c>
      <c r="L31" s="194">
        <v>347029.67</v>
      </c>
      <c r="M31" s="194"/>
      <c r="N31" s="194"/>
      <c r="O31" s="194"/>
      <c r="P31" s="194"/>
      <c r="Q31" s="194"/>
      <c r="R31" s="340">
        <f t="shared" si="2"/>
        <v>347029.67</v>
      </c>
    </row>
    <row r="32" spans="2:18" ht="15.6" x14ac:dyDescent="0.3">
      <c r="B32" s="390">
        <v>10</v>
      </c>
      <c r="C32" s="445" t="s">
        <v>199</v>
      </c>
      <c r="D32" s="446">
        <f t="shared" ref="D32:J32" si="5">IF(ISBLANK(D29),"",D29)</f>
        <v>21</v>
      </c>
      <c r="E32" s="447" t="str">
        <f t="shared" si="5"/>
        <v>Older Adult Technology Suite: Help @ Hand</v>
      </c>
      <c r="F32" s="448" t="str">
        <f t="shared" si="5"/>
        <v>Technology Suite Collaborative Innovation Plan</v>
      </c>
      <c r="G32" s="448">
        <f t="shared" si="5"/>
        <v>43350</v>
      </c>
      <c r="H32" s="448">
        <f t="shared" si="5"/>
        <v>43466</v>
      </c>
      <c r="I32" s="384">
        <f t="shared" si="5"/>
        <v>1580000</v>
      </c>
      <c r="J32" s="384" t="str">
        <f t="shared" si="5"/>
        <v/>
      </c>
      <c r="K32" s="384" t="s">
        <v>214</v>
      </c>
      <c r="L32" s="384">
        <f>SUM(L29:L31)</f>
        <v>362977.48</v>
      </c>
      <c r="M32" s="384">
        <f>SUM(M29:M31)</f>
        <v>0</v>
      </c>
      <c r="N32" s="384">
        <f>SUM(N29:N31)</f>
        <v>0</v>
      </c>
      <c r="O32" s="384">
        <f t="shared" ref="O32:Q32" si="6">SUM(O29:O31)</f>
        <v>0</v>
      </c>
      <c r="P32" s="384">
        <f t="shared" si="6"/>
        <v>0</v>
      </c>
      <c r="Q32" s="384">
        <f t="shared" si="6"/>
        <v>0</v>
      </c>
      <c r="R32" s="384">
        <f t="shared" si="2"/>
        <v>362977.48</v>
      </c>
    </row>
    <row r="33" spans="2:18" ht="30" x14ac:dyDescent="0.25">
      <c r="B33" s="390">
        <v>11</v>
      </c>
      <c r="C33" s="392" t="s">
        <v>22</v>
      </c>
      <c r="D33" s="441">
        <f>IF(R36&lt;&gt;0,VLOOKUP($E$9,Info_County_Code,2,FALSE),"")</f>
        <v>21</v>
      </c>
      <c r="E33" s="186" t="s">
        <v>801</v>
      </c>
      <c r="F33" s="204"/>
      <c r="G33" s="204">
        <v>44343</v>
      </c>
      <c r="H33" s="204">
        <v>44576</v>
      </c>
      <c r="I33" s="194">
        <v>1795000</v>
      </c>
      <c r="J33" s="194">
        <v>2355300</v>
      </c>
      <c r="K33" s="382" t="str">
        <f>IF(NOT(ISBLANK(E33)),$K$29,"")</f>
        <v>Project Administration</v>
      </c>
      <c r="L33" s="194">
        <v>16341.57</v>
      </c>
      <c r="M33" s="194"/>
      <c r="N33" s="194"/>
      <c r="O33" s="194"/>
      <c r="P33" s="194"/>
      <c r="Q33" s="194"/>
      <c r="R33" s="340">
        <f t="shared" si="2"/>
        <v>16341.57</v>
      </c>
    </row>
    <row r="34" spans="2:18" ht="30" x14ac:dyDescent="0.25">
      <c r="B34" s="390">
        <v>11</v>
      </c>
      <c r="C34" s="291" t="s">
        <v>23</v>
      </c>
      <c r="D34" s="441">
        <f t="shared" ref="D34:J34" si="7">IF(ISBLANK(D33),"",D33)</f>
        <v>21</v>
      </c>
      <c r="E34" s="443" t="str">
        <f t="shared" si="7"/>
        <v>From Housing To Healing, Re-Entry Community for Women</v>
      </c>
      <c r="F34" s="444" t="str">
        <f t="shared" si="7"/>
        <v/>
      </c>
      <c r="G34" s="444">
        <f t="shared" si="7"/>
        <v>44343</v>
      </c>
      <c r="H34" s="444">
        <f t="shared" si="7"/>
        <v>44576</v>
      </c>
      <c r="I34" s="382">
        <f t="shared" si="7"/>
        <v>1795000</v>
      </c>
      <c r="J34" s="382">
        <f t="shared" si="7"/>
        <v>2355300</v>
      </c>
      <c r="K34" s="382" t="str">
        <f>IF(NOT(ISBLANK(E33)),$K$30,"")</f>
        <v>Project Evaluation</v>
      </c>
      <c r="L34" s="194"/>
      <c r="M34" s="194"/>
      <c r="N34" s="194"/>
      <c r="O34" s="194"/>
      <c r="P34" s="194"/>
      <c r="Q34" s="194"/>
      <c r="R34" s="340">
        <f t="shared" si="2"/>
        <v>0</v>
      </c>
    </row>
    <row r="35" spans="2:18" ht="30" x14ac:dyDescent="0.25">
      <c r="B35" s="390">
        <v>11</v>
      </c>
      <c r="C35" s="291" t="s">
        <v>25</v>
      </c>
      <c r="D35" s="441">
        <f t="shared" ref="D35:J35" si="8">IF(ISBLANK(D33),"",D33)</f>
        <v>21</v>
      </c>
      <c r="E35" s="443" t="str">
        <f t="shared" si="8"/>
        <v>From Housing To Healing, Re-Entry Community for Women</v>
      </c>
      <c r="F35" s="444" t="str">
        <f t="shared" si="8"/>
        <v/>
      </c>
      <c r="G35" s="444">
        <f t="shared" si="8"/>
        <v>44343</v>
      </c>
      <c r="H35" s="444">
        <f t="shared" si="8"/>
        <v>44576</v>
      </c>
      <c r="I35" s="382">
        <f t="shared" si="8"/>
        <v>1795000</v>
      </c>
      <c r="J35" s="382">
        <f t="shared" si="8"/>
        <v>2355300</v>
      </c>
      <c r="K35" s="382" t="str">
        <f>IF(NOT(ISBLANK(E33)),$K$31,"")</f>
        <v>Project Direct</v>
      </c>
      <c r="L35" s="194">
        <f>355598.08-M35-N35-O35-P35-Q35</f>
        <v>323898.88</v>
      </c>
      <c r="M35" s="194"/>
      <c r="N35" s="194">
        <v>31699.200000000001</v>
      </c>
      <c r="O35" s="194"/>
      <c r="P35" s="194"/>
      <c r="Q35" s="194"/>
      <c r="R35" s="340">
        <f t="shared" si="2"/>
        <v>355598.08000000002</v>
      </c>
    </row>
    <row r="36" spans="2:18" ht="31.2" x14ac:dyDescent="0.3">
      <c r="B36" s="445">
        <v>11</v>
      </c>
      <c r="C36" s="445" t="s">
        <v>199</v>
      </c>
      <c r="D36" s="446">
        <f t="shared" ref="D36:J36" si="9">IF(ISBLANK(D33),"",D33)</f>
        <v>21</v>
      </c>
      <c r="E36" s="447" t="str">
        <f t="shared" si="9"/>
        <v>From Housing To Healing, Re-Entry Community for Women</v>
      </c>
      <c r="F36" s="448" t="str">
        <f t="shared" si="9"/>
        <v/>
      </c>
      <c r="G36" s="448">
        <f t="shared" si="9"/>
        <v>44343</v>
      </c>
      <c r="H36" s="448">
        <f t="shared" si="9"/>
        <v>44576</v>
      </c>
      <c r="I36" s="384">
        <f t="shared" si="9"/>
        <v>1795000</v>
      </c>
      <c r="J36" s="384">
        <f t="shared" si="9"/>
        <v>2355300</v>
      </c>
      <c r="K36" s="384" t="str">
        <f>IF(NOT(ISBLANK(E33)),$K$32,"")</f>
        <v>Project Subtotal</v>
      </c>
      <c r="L36" s="384">
        <f t="shared" ref="L36" si="10">SUM(L33:L35)</f>
        <v>340240.45</v>
      </c>
      <c r="M36" s="384">
        <f>SUM(M33:M35)</f>
        <v>0</v>
      </c>
      <c r="N36" s="384">
        <f>SUM(N33:N35)</f>
        <v>31699.200000000001</v>
      </c>
      <c r="O36" s="384">
        <f t="shared" ref="O36:Q36" si="11">SUM(O33:O35)</f>
        <v>0</v>
      </c>
      <c r="P36" s="384">
        <f t="shared" si="11"/>
        <v>0</v>
      </c>
      <c r="Q36" s="384">
        <f t="shared" si="11"/>
        <v>0</v>
      </c>
      <c r="R36" s="384">
        <f t="shared" si="2"/>
        <v>371939.65</v>
      </c>
    </row>
    <row r="37" spans="2:18" x14ac:dyDescent="0.25">
      <c r="B37" s="390">
        <v>12</v>
      </c>
      <c r="C37" s="392" t="s">
        <v>22</v>
      </c>
      <c r="D37" s="441">
        <f>IF(R40&lt;&gt;0,VLOOKUP($E$9,Info_County_Code,2,FALSE),"")</f>
        <v>21</v>
      </c>
      <c r="E37" s="186" t="s">
        <v>802</v>
      </c>
      <c r="F37" s="204"/>
      <c r="G37" s="204">
        <v>44462</v>
      </c>
      <c r="H37" s="204">
        <v>44635</v>
      </c>
      <c r="I37" s="194">
        <v>1648000</v>
      </c>
      <c r="J37" s="194"/>
      <c r="K37" s="382" t="str">
        <f>IF(NOT(ISBLANK(E37)),$K$29,"")</f>
        <v>Project Administration</v>
      </c>
      <c r="L37" s="194">
        <v>24607.78</v>
      </c>
      <c r="M37" s="194"/>
      <c r="N37" s="194"/>
      <c r="O37" s="194"/>
      <c r="P37" s="194"/>
      <c r="Q37" s="194"/>
      <c r="R37" s="340">
        <f t="shared" si="2"/>
        <v>24607.78</v>
      </c>
    </row>
    <row r="38" spans="2:18" x14ac:dyDescent="0.25">
      <c r="B38" s="390">
        <v>12</v>
      </c>
      <c r="C38" s="291" t="s">
        <v>23</v>
      </c>
      <c r="D38" s="441">
        <f t="shared" ref="D38:J38" si="12">IF(ISBLANK(D37),"",D37)</f>
        <v>21</v>
      </c>
      <c r="E38" s="443" t="str">
        <f t="shared" si="12"/>
        <v>Student Wellness Ambassador Program (SWAP)</v>
      </c>
      <c r="F38" s="444" t="str">
        <f t="shared" si="12"/>
        <v/>
      </c>
      <c r="G38" s="444">
        <f t="shared" si="12"/>
        <v>44462</v>
      </c>
      <c r="H38" s="444">
        <f t="shared" si="12"/>
        <v>44635</v>
      </c>
      <c r="I38" s="382">
        <f t="shared" si="12"/>
        <v>1648000</v>
      </c>
      <c r="J38" s="382" t="str">
        <f t="shared" si="12"/>
        <v/>
      </c>
      <c r="K38" s="382" t="str">
        <f>IF(NOT(ISBLANK(E37)),$K$30,"")</f>
        <v>Project Evaluation</v>
      </c>
      <c r="L38" s="194">
        <v>143622.12</v>
      </c>
      <c r="M38" s="194"/>
      <c r="N38" s="194"/>
      <c r="O38" s="194"/>
      <c r="P38" s="194"/>
      <c r="Q38" s="194"/>
      <c r="R38" s="340">
        <f t="shared" si="2"/>
        <v>143622.12</v>
      </c>
    </row>
    <row r="39" spans="2:18" x14ac:dyDescent="0.25">
      <c r="B39" s="390">
        <v>12</v>
      </c>
      <c r="C39" s="291" t="s">
        <v>25</v>
      </c>
      <c r="D39" s="441">
        <f t="shared" ref="D39:J39" si="13">IF(ISBLANK(D37),"",D37)</f>
        <v>21</v>
      </c>
      <c r="E39" s="443" t="str">
        <f t="shared" si="13"/>
        <v>Student Wellness Ambassador Program (SWAP)</v>
      </c>
      <c r="F39" s="444" t="str">
        <f t="shared" si="13"/>
        <v/>
      </c>
      <c r="G39" s="444">
        <f t="shared" si="13"/>
        <v>44462</v>
      </c>
      <c r="H39" s="444">
        <f t="shared" si="13"/>
        <v>44635</v>
      </c>
      <c r="I39" s="382">
        <f t="shared" si="13"/>
        <v>1648000</v>
      </c>
      <c r="J39" s="382" t="str">
        <f t="shared" si="13"/>
        <v/>
      </c>
      <c r="K39" s="382" t="str">
        <f>IF(NOT(ISBLANK(E37)),$K$31,"")</f>
        <v>Project Direct</v>
      </c>
      <c r="L39" s="194">
        <f>535473.74-L38</f>
        <v>391851.62</v>
      </c>
      <c r="M39" s="194"/>
      <c r="N39" s="194"/>
      <c r="O39" s="194"/>
      <c r="P39" s="194"/>
      <c r="Q39" s="194"/>
      <c r="R39" s="340">
        <f t="shared" si="2"/>
        <v>391851.62</v>
      </c>
    </row>
    <row r="40" spans="2:18" ht="15.6" x14ac:dyDescent="0.3">
      <c r="B40" s="445">
        <v>12</v>
      </c>
      <c r="C40" s="445" t="s">
        <v>199</v>
      </c>
      <c r="D40" s="446">
        <f t="shared" ref="D40:J40" si="14">IF(ISBLANK(D37),"",D37)</f>
        <v>21</v>
      </c>
      <c r="E40" s="447" t="str">
        <f t="shared" si="14"/>
        <v>Student Wellness Ambassador Program (SWAP)</v>
      </c>
      <c r="F40" s="448" t="str">
        <f t="shared" si="14"/>
        <v/>
      </c>
      <c r="G40" s="448">
        <f t="shared" si="14"/>
        <v>44462</v>
      </c>
      <c r="H40" s="448">
        <f t="shared" si="14"/>
        <v>44635</v>
      </c>
      <c r="I40" s="384">
        <f t="shared" si="14"/>
        <v>1648000</v>
      </c>
      <c r="J40" s="384" t="str">
        <f t="shared" si="14"/>
        <v/>
      </c>
      <c r="K40" s="384" t="str">
        <f>IF(NOT(ISBLANK(E37)),$K$32,"")</f>
        <v>Project Subtotal</v>
      </c>
      <c r="L40" s="384">
        <f t="shared" ref="L40" si="15">SUM(L37:L39)</f>
        <v>560081.52</v>
      </c>
      <c r="M40" s="384">
        <f>SUM(M37:M39)</f>
        <v>0</v>
      </c>
      <c r="N40" s="384">
        <f>SUM(N37:N39)</f>
        <v>0</v>
      </c>
      <c r="O40" s="384">
        <f t="shared" ref="O40" si="16">SUM(O37:O39)</f>
        <v>0</v>
      </c>
      <c r="P40" s="384">
        <f t="shared" ref="P40" si="17">SUM(P37:P39)</f>
        <v>0</v>
      </c>
      <c r="Q40" s="384">
        <f t="shared" ref="Q40" si="18">SUM(Q37:Q39)</f>
        <v>0</v>
      </c>
      <c r="R40" s="384">
        <f t="shared" si="2"/>
        <v>560081.52</v>
      </c>
    </row>
    <row r="41" spans="2:18" x14ac:dyDescent="0.25">
      <c r="B41" s="146">
        <v>13</v>
      </c>
      <c r="C41" s="155" t="s">
        <v>22</v>
      </c>
      <c r="D41" s="242" t="str">
        <f>IF(R44&lt;&gt;0,VLOOKUP($E$9,Info_County_Code,2,FALSE),"")</f>
        <v/>
      </c>
      <c r="E41" s="364"/>
      <c r="F41" s="449"/>
      <c r="G41" s="449"/>
      <c r="H41" s="449"/>
      <c r="I41" s="408"/>
      <c r="J41" s="408"/>
      <c r="K41" s="238" t="str">
        <f>IF(NOT(ISBLANK(E41)),$K$29,"")</f>
        <v/>
      </c>
      <c r="L41" s="408"/>
      <c r="M41" s="408"/>
      <c r="N41" s="408"/>
      <c r="O41" s="408"/>
      <c r="P41" s="408"/>
      <c r="Q41" s="408"/>
      <c r="R41" s="233">
        <f t="shared" si="2"/>
        <v>0</v>
      </c>
    </row>
    <row r="42" spans="2:18" x14ac:dyDescent="0.25">
      <c r="B42" s="146">
        <v>13</v>
      </c>
      <c r="C42" s="131" t="s">
        <v>23</v>
      </c>
      <c r="D42" s="242" t="str">
        <f t="shared" ref="D42:J42" si="19">IF(ISBLANK(D41),"",D41)</f>
        <v/>
      </c>
      <c r="E42" s="244" t="str">
        <f t="shared" si="19"/>
        <v/>
      </c>
      <c r="F42" s="245" t="str">
        <f t="shared" si="19"/>
        <v/>
      </c>
      <c r="G42" s="245" t="str">
        <f t="shared" si="19"/>
        <v/>
      </c>
      <c r="H42" s="245" t="str">
        <f t="shared" si="19"/>
        <v/>
      </c>
      <c r="I42" s="238" t="str">
        <f t="shared" si="19"/>
        <v/>
      </c>
      <c r="J42" s="238" t="str">
        <f t="shared" si="19"/>
        <v/>
      </c>
      <c r="K42" s="238" t="str">
        <f>IF(NOT(ISBLANK(E41)),$K$30,"")</f>
        <v/>
      </c>
      <c r="L42" s="408"/>
      <c r="M42" s="408"/>
      <c r="N42" s="408"/>
      <c r="O42" s="408"/>
      <c r="P42" s="408"/>
      <c r="Q42" s="408"/>
      <c r="R42" s="233">
        <f t="shared" si="2"/>
        <v>0</v>
      </c>
    </row>
    <row r="43" spans="2:18" x14ac:dyDescent="0.25">
      <c r="B43" s="146">
        <v>13</v>
      </c>
      <c r="C43" s="131" t="s">
        <v>25</v>
      </c>
      <c r="D43" s="242" t="str">
        <f t="shared" ref="D43:J43" si="20">IF(ISBLANK(D41),"",D41)</f>
        <v/>
      </c>
      <c r="E43" s="244" t="str">
        <f t="shared" si="20"/>
        <v/>
      </c>
      <c r="F43" s="245" t="str">
        <f t="shared" si="20"/>
        <v/>
      </c>
      <c r="G43" s="245" t="str">
        <f t="shared" si="20"/>
        <v/>
      </c>
      <c r="H43" s="245" t="str">
        <f t="shared" si="20"/>
        <v/>
      </c>
      <c r="I43" s="238" t="str">
        <f t="shared" si="20"/>
        <v/>
      </c>
      <c r="J43" s="238" t="str">
        <f t="shared" si="20"/>
        <v/>
      </c>
      <c r="K43" s="238" t="str">
        <f>IF(NOT(ISBLANK(E41)),$K$31,"")</f>
        <v/>
      </c>
      <c r="L43" s="408"/>
      <c r="M43" s="408"/>
      <c r="N43" s="408"/>
      <c r="O43" s="408"/>
      <c r="P43" s="408"/>
      <c r="Q43" s="408"/>
      <c r="R43" s="233">
        <f t="shared" si="2"/>
        <v>0</v>
      </c>
    </row>
    <row r="44" spans="2:18" ht="15.6" x14ac:dyDescent="0.3">
      <c r="B44" s="157">
        <v>13</v>
      </c>
      <c r="C44" s="157" t="s">
        <v>199</v>
      </c>
      <c r="D44" s="243" t="str">
        <f t="shared" ref="D44:J44" si="21">IF(ISBLANK(D41),"",D41)</f>
        <v/>
      </c>
      <c r="E44" s="246" t="str">
        <f t="shared" si="21"/>
        <v/>
      </c>
      <c r="F44" s="247" t="str">
        <f t="shared" si="21"/>
        <v/>
      </c>
      <c r="G44" s="247" t="str">
        <f t="shared" si="21"/>
        <v/>
      </c>
      <c r="H44" s="247" t="str">
        <f t="shared" si="21"/>
        <v/>
      </c>
      <c r="I44" s="239" t="str">
        <f t="shared" si="21"/>
        <v/>
      </c>
      <c r="J44" s="239" t="str">
        <f t="shared" si="21"/>
        <v/>
      </c>
      <c r="K44" s="239" t="str">
        <f>IF(NOT(ISBLANK(E41)),$K$32,"")</f>
        <v/>
      </c>
      <c r="L44" s="239">
        <f t="shared" ref="L44" si="22">SUM(L41:L43)</f>
        <v>0</v>
      </c>
      <c r="M44" s="239">
        <f>SUM(M41:M43)</f>
        <v>0</v>
      </c>
      <c r="N44" s="239">
        <f>SUM(N41:N43)</f>
        <v>0</v>
      </c>
      <c r="O44" s="239">
        <f t="shared" ref="O44" si="23">SUM(O41:O43)</f>
        <v>0</v>
      </c>
      <c r="P44" s="239">
        <f t="shared" ref="P44" si="24">SUM(P41:P43)</f>
        <v>0</v>
      </c>
      <c r="Q44" s="239">
        <f t="shared" ref="Q44" si="25">SUM(Q41:Q43)</f>
        <v>0</v>
      </c>
      <c r="R44" s="239">
        <f t="shared" si="2"/>
        <v>0</v>
      </c>
    </row>
    <row r="45" spans="2:18" x14ac:dyDescent="0.25">
      <c r="B45" s="146">
        <v>14</v>
      </c>
      <c r="C45" s="155" t="s">
        <v>22</v>
      </c>
      <c r="D45" s="242" t="str">
        <f>IF(R48&lt;&gt;0,VLOOKUP($E$9,Info_County_Code,2,FALSE),"")</f>
        <v/>
      </c>
      <c r="E45" s="364"/>
      <c r="F45" s="449"/>
      <c r="G45" s="449"/>
      <c r="H45" s="449"/>
      <c r="I45" s="408"/>
      <c r="J45" s="408"/>
      <c r="K45" s="238" t="str">
        <f>IF(NOT(ISBLANK(E45)),$K$29,"")</f>
        <v/>
      </c>
      <c r="L45" s="408"/>
      <c r="M45" s="408"/>
      <c r="N45" s="408"/>
      <c r="O45" s="408"/>
      <c r="P45" s="408"/>
      <c r="Q45" s="408"/>
      <c r="R45" s="233">
        <f t="shared" si="2"/>
        <v>0</v>
      </c>
    </row>
    <row r="46" spans="2:18" x14ac:dyDescent="0.25">
      <c r="B46" s="146">
        <v>14</v>
      </c>
      <c r="C46" s="131" t="s">
        <v>23</v>
      </c>
      <c r="D46" s="242" t="str">
        <f t="shared" ref="D46:J46" si="26">IF(ISBLANK(D45),"",D45)</f>
        <v/>
      </c>
      <c r="E46" s="244" t="str">
        <f t="shared" si="26"/>
        <v/>
      </c>
      <c r="F46" s="245" t="str">
        <f t="shared" si="26"/>
        <v/>
      </c>
      <c r="G46" s="245" t="str">
        <f t="shared" si="26"/>
        <v/>
      </c>
      <c r="H46" s="245" t="str">
        <f t="shared" si="26"/>
        <v/>
      </c>
      <c r="I46" s="238" t="str">
        <f t="shared" si="26"/>
        <v/>
      </c>
      <c r="J46" s="238" t="str">
        <f t="shared" si="26"/>
        <v/>
      </c>
      <c r="K46" s="238" t="str">
        <f>IF(NOT(ISBLANK(E45)),$K$30,"")</f>
        <v/>
      </c>
      <c r="L46" s="408"/>
      <c r="M46" s="408"/>
      <c r="N46" s="408"/>
      <c r="O46" s="408"/>
      <c r="P46" s="408"/>
      <c r="Q46" s="408"/>
      <c r="R46" s="233">
        <f t="shared" si="2"/>
        <v>0</v>
      </c>
    </row>
    <row r="47" spans="2:18" x14ac:dyDescent="0.25">
      <c r="B47" s="146">
        <v>14</v>
      </c>
      <c r="C47" s="131" t="s">
        <v>25</v>
      </c>
      <c r="D47" s="242" t="str">
        <f t="shared" ref="D47:J47" si="27">IF(ISBLANK(D45),"",D45)</f>
        <v/>
      </c>
      <c r="E47" s="244" t="str">
        <f t="shared" si="27"/>
        <v/>
      </c>
      <c r="F47" s="245" t="str">
        <f t="shared" si="27"/>
        <v/>
      </c>
      <c r="G47" s="245" t="str">
        <f t="shared" si="27"/>
        <v/>
      </c>
      <c r="H47" s="245" t="str">
        <f t="shared" si="27"/>
        <v/>
      </c>
      <c r="I47" s="238" t="str">
        <f t="shared" si="27"/>
        <v/>
      </c>
      <c r="J47" s="238" t="str">
        <f t="shared" si="27"/>
        <v/>
      </c>
      <c r="K47" s="238" t="str">
        <f>IF(NOT(ISBLANK(E45)),$K$31,"")</f>
        <v/>
      </c>
      <c r="L47" s="408"/>
      <c r="M47" s="408"/>
      <c r="N47" s="408"/>
      <c r="O47" s="408"/>
      <c r="P47" s="408"/>
      <c r="Q47" s="408"/>
      <c r="R47" s="233">
        <f t="shared" si="2"/>
        <v>0</v>
      </c>
    </row>
    <row r="48" spans="2:18" ht="15.6" x14ac:dyDescent="0.3">
      <c r="B48" s="157">
        <v>14</v>
      </c>
      <c r="C48" s="157" t="s">
        <v>199</v>
      </c>
      <c r="D48" s="243" t="str">
        <f t="shared" ref="D48:J48" si="28">IF(ISBLANK(D45),"",D45)</f>
        <v/>
      </c>
      <c r="E48" s="246" t="str">
        <f t="shared" si="28"/>
        <v/>
      </c>
      <c r="F48" s="247" t="str">
        <f t="shared" si="28"/>
        <v/>
      </c>
      <c r="G48" s="247" t="str">
        <f t="shared" si="28"/>
        <v/>
      </c>
      <c r="H48" s="247" t="str">
        <f t="shared" si="28"/>
        <v/>
      </c>
      <c r="I48" s="239" t="str">
        <f t="shared" si="28"/>
        <v/>
      </c>
      <c r="J48" s="239" t="str">
        <f t="shared" si="28"/>
        <v/>
      </c>
      <c r="K48" s="239" t="str">
        <f>IF(NOT(ISBLANK(E45)),$K$32,"")</f>
        <v/>
      </c>
      <c r="L48" s="239">
        <f t="shared" ref="L48" si="29">SUM(L45:L47)</f>
        <v>0</v>
      </c>
      <c r="M48" s="239">
        <f>SUM(M45:M47)</f>
        <v>0</v>
      </c>
      <c r="N48" s="239">
        <f>SUM(N45:N47)</f>
        <v>0</v>
      </c>
      <c r="O48" s="239">
        <f t="shared" ref="O48" si="30">SUM(O45:O47)</f>
        <v>0</v>
      </c>
      <c r="P48" s="239">
        <f t="shared" ref="P48" si="31">SUM(P45:P47)</f>
        <v>0</v>
      </c>
      <c r="Q48" s="239">
        <f t="shared" ref="Q48" si="32">SUM(Q45:Q47)</f>
        <v>0</v>
      </c>
      <c r="R48" s="239">
        <f t="shared" si="2"/>
        <v>0</v>
      </c>
    </row>
    <row r="49" spans="2:18" x14ac:dyDescent="0.25">
      <c r="B49" s="146">
        <v>15</v>
      </c>
      <c r="C49" s="155" t="s">
        <v>22</v>
      </c>
      <c r="D49" s="242" t="str">
        <f>IF(R52&lt;&gt;0,VLOOKUP($E$9,Info_County_Code,2,FALSE),"")</f>
        <v/>
      </c>
      <c r="E49" s="364"/>
      <c r="F49" s="449"/>
      <c r="G49" s="449"/>
      <c r="H49" s="449"/>
      <c r="I49" s="408"/>
      <c r="J49" s="408"/>
      <c r="K49" s="238" t="str">
        <f>IF(NOT(ISBLANK(E49)),$K$29,"")</f>
        <v/>
      </c>
      <c r="L49" s="408"/>
      <c r="M49" s="408"/>
      <c r="N49" s="408"/>
      <c r="O49" s="408"/>
      <c r="P49" s="408"/>
      <c r="Q49" s="408"/>
      <c r="R49" s="233">
        <f t="shared" si="2"/>
        <v>0</v>
      </c>
    </row>
    <row r="50" spans="2:18" x14ac:dyDescent="0.25">
      <c r="B50" s="146">
        <v>15</v>
      </c>
      <c r="C50" s="131" t="s">
        <v>23</v>
      </c>
      <c r="D50" s="242" t="str">
        <f t="shared" ref="D50:J50" si="33">IF(ISBLANK(D49),"",D49)</f>
        <v/>
      </c>
      <c r="E50" s="244" t="str">
        <f t="shared" si="33"/>
        <v/>
      </c>
      <c r="F50" s="245" t="str">
        <f t="shared" si="33"/>
        <v/>
      </c>
      <c r="G50" s="245" t="str">
        <f t="shared" si="33"/>
        <v/>
      </c>
      <c r="H50" s="245" t="str">
        <f t="shared" si="33"/>
        <v/>
      </c>
      <c r="I50" s="238" t="str">
        <f t="shared" si="33"/>
        <v/>
      </c>
      <c r="J50" s="238" t="str">
        <f t="shared" si="33"/>
        <v/>
      </c>
      <c r="K50" s="238" t="str">
        <f>IF(NOT(ISBLANK(E49)),$K$30,"")</f>
        <v/>
      </c>
      <c r="L50" s="408"/>
      <c r="M50" s="408"/>
      <c r="N50" s="408"/>
      <c r="O50" s="408"/>
      <c r="P50" s="408"/>
      <c r="Q50" s="408"/>
      <c r="R50" s="233">
        <f t="shared" si="2"/>
        <v>0</v>
      </c>
    </row>
    <row r="51" spans="2:18" x14ac:dyDescent="0.25">
      <c r="B51" s="146">
        <v>15</v>
      </c>
      <c r="C51" s="131" t="s">
        <v>25</v>
      </c>
      <c r="D51" s="242" t="str">
        <f t="shared" ref="D51:J51" si="34">IF(ISBLANK(D49),"",D49)</f>
        <v/>
      </c>
      <c r="E51" s="244" t="str">
        <f t="shared" si="34"/>
        <v/>
      </c>
      <c r="F51" s="245" t="str">
        <f t="shared" si="34"/>
        <v/>
      </c>
      <c r="G51" s="245" t="str">
        <f t="shared" si="34"/>
        <v/>
      </c>
      <c r="H51" s="245" t="str">
        <f t="shared" si="34"/>
        <v/>
      </c>
      <c r="I51" s="238" t="str">
        <f t="shared" si="34"/>
        <v/>
      </c>
      <c r="J51" s="238" t="str">
        <f t="shared" si="34"/>
        <v/>
      </c>
      <c r="K51" s="238" t="str">
        <f>IF(NOT(ISBLANK(E49)),$K$31,"")</f>
        <v/>
      </c>
      <c r="L51" s="408"/>
      <c r="M51" s="408"/>
      <c r="N51" s="408"/>
      <c r="O51" s="408"/>
      <c r="P51" s="408"/>
      <c r="Q51" s="408"/>
      <c r="R51" s="233">
        <f t="shared" si="2"/>
        <v>0</v>
      </c>
    </row>
    <row r="52" spans="2:18" ht="15.6" x14ac:dyDescent="0.3">
      <c r="B52" s="157">
        <v>15</v>
      </c>
      <c r="C52" s="157" t="s">
        <v>199</v>
      </c>
      <c r="D52" s="243" t="str">
        <f t="shared" ref="D52:J52" si="35">IF(ISBLANK(D49),"",D49)</f>
        <v/>
      </c>
      <c r="E52" s="246" t="str">
        <f t="shared" si="35"/>
        <v/>
      </c>
      <c r="F52" s="247" t="str">
        <f t="shared" si="35"/>
        <v/>
      </c>
      <c r="G52" s="247" t="str">
        <f t="shared" si="35"/>
        <v/>
      </c>
      <c r="H52" s="247" t="str">
        <f t="shared" si="35"/>
        <v/>
      </c>
      <c r="I52" s="239" t="str">
        <f t="shared" si="35"/>
        <v/>
      </c>
      <c r="J52" s="239" t="str">
        <f t="shared" si="35"/>
        <v/>
      </c>
      <c r="K52" s="239" t="str">
        <f>IF(NOT(ISBLANK(E49)),$K$32,"")</f>
        <v/>
      </c>
      <c r="L52" s="239">
        <f t="shared" ref="L52" si="36">SUM(L49:L51)</f>
        <v>0</v>
      </c>
      <c r="M52" s="239">
        <f>SUM(M49:M51)</f>
        <v>0</v>
      </c>
      <c r="N52" s="239">
        <f>SUM(N49:N51)</f>
        <v>0</v>
      </c>
      <c r="O52" s="239">
        <f t="shared" ref="O52" si="37">SUM(O49:O51)</f>
        <v>0</v>
      </c>
      <c r="P52" s="239">
        <f t="shared" ref="P52" si="38">SUM(P49:P51)</f>
        <v>0</v>
      </c>
      <c r="Q52" s="239">
        <f t="shared" ref="Q52" si="39">SUM(Q49:Q51)</f>
        <v>0</v>
      </c>
      <c r="R52" s="239">
        <f t="shared" si="2"/>
        <v>0</v>
      </c>
    </row>
    <row r="53" spans="2:18" x14ac:dyDescent="0.25">
      <c r="B53" s="146">
        <v>16</v>
      </c>
      <c r="C53" s="155" t="s">
        <v>22</v>
      </c>
      <c r="D53" s="242" t="str">
        <f>IF(R56&lt;&gt;0,VLOOKUP($E$9,Info_County_Code,2,FALSE),"")</f>
        <v/>
      </c>
      <c r="E53" s="364"/>
      <c r="F53" s="449"/>
      <c r="G53" s="449"/>
      <c r="H53" s="449"/>
      <c r="I53" s="408"/>
      <c r="J53" s="408"/>
      <c r="K53" s="238" t="str">
        <f>IF(NOT(ISBLANK(E53)),$K$29,"")</f>
        <v/>
      </c>
      <c r="L53" s="408"/>
      <c r="M53" s="408"/>
      <c r="N53" s="408"/>
      <c r="O53" s="408"/>
      <c r="P53" s="408"/>
      <c r="Q53" s="408"/>
      <c r="R53" s="233">
        <f t="shared" si="2"/>
        <v>0</v>
      </c>
    </row>
    <row r="54" spans="2:18" x14ac:dyDescent="0.25">
      <c r="B54" s="146">
        <v>16</v>
      </c>
      <c r="C54" s="131" t="s">
        <v>23</v>
      </c>
      <c r="D54" s="242" t="str">
        <f t="shared" ref="D54:J54" si="40">IF(ISBLANK(D53),"",D53)</f>
        <v/>
      </c>
      <c r="E54" s="244" t="str">
        <f t="shared" si="40"/>
        <v/>
      </c>
      <c r="F54" s="245" t="str">
        <f t="shared" si="40"/>
        <v/>
      </c>
      <c r="G54" s="245" t="str">
        <f t="shared" si="40"/>
        <v/>
      </c>
      <c r="H54" s="245" t="str">
        <f t="shared" si="40"/>
        <v/>
      </c>
      <c r="I54" s="238" t="str">
        <f t="shared" si="40"/>
        <v/>
      </c>
      <c r="J54" s="238" t="str">
        <f t="shared" si="40"/>
        <v/>
      </c>
      <c r="K54" s="238" t="str">
        <f>IF(NOT(ISBLANK(E53)),$K$30,"")</f>
        <v/>
      </c>
      <c r="L54" s="408"/>
      <c r="M54" s="408"/>
      <c r="N54" s="408"/>
      <c r="O54" s="408"/>
      <c r="P54" s="408"/>
      <c r="Q54" s="408"/>
      <c r="R54" s="233">
        <f t="shared" si="2"/>
        <v>0</v>
      </c>
    </row>
    <row r="55" spans="2:18" x14ac:dyDescent="0.25">
      <c r="B55" s="146">
        <v>16</v>
      </c>
      <c r="C55" s="131" t="s">
        <v>25</v>
      </c>
      <c r="D55" s="242" t="str">
        <f t="shared" ref="D55:J55" si="41">IF(ISBLANK(D53),"",D53)</f>
        <v/>
      </c>
      <c r="E55" s="244" t="str">
        <f t="shared" si="41"/>
        <v/>
      </c>
      <c r="F55" s="245" t="str">
        <f t="shared" si="41"/>
        <v/>
      </c>
      <c r="G55" s="245" t="str">
        <f t="shared" si="41"/>
        <v/>
      </c>
      <c r="H55" s="245" t="str">
        <f t="shared" si="41"/>
        <v/>
      </c>
      <c r="I55" s="238" t="str">
        <f t="shared" si="41"/>
        <v/>
      </c>
      <c r="J55" s="238" t="str">
        <f t="shared" si="41"/>
        <v/>
      </c>
      <c r="K55" s="238" t="str">
        <f>IF(NOT(ISBLANK(E53)),$K$31,"")</f>
        <v/>
      </c>
      <c r="L55" s="408"/>
      <c r="M55" s="408"/>
      <c r="N55" s="408"/>
      <c r="O55" s="408"/>
      <c r="P55" s="408"/>
      <c r="Q55" s="408"/>
      <c r="R55" s="233">
        <f t="shared" si="2"/>
        <v>0</v>
      </c>
    </row>
    <row r="56" spans="2:18" ht="15.6" x14ac:dyDescent="0.3">
      <c r="B56" s="157">
        <v>16</v>
      </c>
      <c r="C56" s="157" t="s">
        <v>199</v>
      </c>
      <c r="D56" s="243" t="str">
        <f t="shared" ref="D56:J56" si="42">IF(ISBLANK(D53),"",D53)</f>
        <v/>
      </c>
      <c r="E56" s="246" t="str">
        <f t="shared" si="42"/>
        <v/>
      </c>
      <c r="F56" s="247" t="str">
        <f t="shared" si="42"/>
        <v/>
      </c>
      <c r="G56" s="247" t="str">
        <f t="shared" si="42"/>
        <v/>
      </c>
      <c r="H56" s="247" t="str">
        <f t="shared" si="42"/>
        <v/>
      </c>
      <c r="I56" s="239" t="str">
        <f t="shared" si="42"/>
        <v/>
      </c>
      <c r="J56" s="239" t="str">
        <f t="shared" si="42"/>
        <v/>
      </c>
      <c r="K56" s="239" t="str">
        <f>IF(NOT(ISBLANK(E53)),$K$32,"")</f>
        <v/>
      </c>
      <c r="L56" s="239">
        <f t="shared" ref="L56" si="43">SUM(L53:L55)</f>
        <v>0</v>
      </c>
      <c r="M56" s="239">
        <f>SUM(M53:M55)</f>
        <v>0</v>
      </c>
      <c r="N56" s="239">
        <f>SUM(N53:N55)</f>
        <v>0</v>
      </c>
      <c r="O56" s="239">
        <f t="shared" ref="O56" si="44">SUM(O53:O55)</f>
        <v>0</v>
      </c>
      <c r="P56" s="239">
        <f t="shared" ref="P56" si="45">SUM(P53:P55)</f>
        <v>0</v>
      </c>
      <c r="Q56" s="239">
        <f t="shared" ref="Q56" si="46">SUM(Q53:Q55)</f>
        <v>0</v>
      </c>
      <c r="R56" s="239">
        <f t="shared" si="2"/>
        <v>0</v>
      </c>
    </row>
    <row r="57" spans="2:18" x14ac:dyDescent="0.25">
      <c r="B57" s="146">
        <v>17</v>
      </c>
      <c r="C57" s="155" t="s">
        <v>22</v>
      </c>
      <c r="D57" s="242" t="str">
        <f>IF(R60&lt;&gt;0,VLOOKUP($E$9,Info_County_Code,2,FALSE),"")</f>
        <v/>
      </c>
      <c r="E57" s="364"/>
      <c r="F57" s="449"/>
      <c r="G57" s="449"/>
      <c r="H57" s="449"/>
      <c r="I57" s="408"/>
      <c r="J57" s="408"/>
      <c r="K57" s="238" t="str">
        <f>IF(NOT(ISBLANK(E57)),$K$29,"")</f>
        <v/>
      </c>
      <c r="L57" s="408"/>
      <c r="M57" s="408"/>
      <c r="N57" s="408"/>
      <c r="O57" s="408"/>
      <c r="P57" s="408"/>
      <c r="Q57" s="408"/>
      <c r="R57" s="233">
        <f t="shared" si="2"/>
        <v>0</v>
      </c>
    </row>
    <row r="58" spans="2:18" x14ac:dyDescent="0.25">
      <c r="B58" s="146">
        <v>17</v>
      </c>
      <c r="C58" s="131" t="s">
        <v>23</v>
      </c>
      <c r="D58" s="242" t="str">
        <f t="shared" ref="D58:J58" si="47">IF(ISBLANK(D57),"",D57)</f>
        <v/>
      </c>
      <c r="E58" s="244" t="str">
        <f t="shared" si="47"/>
        <v/>
      </c>
      <c r="F58" s="245" t="str">
        <f t="shared" si="47"/>
        <v/>
      </c>
      <c r="G58" s="245" t="str">
        <f t="shared" si="47"/>
        <v/>
      </c>
      <c r="H58" s="245" t="str">
        <f t="shared" si="47"/>
        <v/>
      </c>
      <c r="I58" s="238" t="str">
        <f t="shared" si="47"/>
        <v/>
      </c>
      <c r="J58" s="238" t="str">
        <f t="shared" si="47"/>
        <v/>
      </c>
      <c r="K58" s="238" t="str">
        <f>IF(NOT(ISBLANK(E57)),$K$30,"")</f>
        <v/>
      </c>
      <c r="L58" s="408"/>
      <c r="M58" s="408"/>
      <c r="N58" s="408"/>
      <c r="O58" s="408"/>
      <c r="P58" s="408"/>
      <c r="Q58" s="408"/>
      <c r="R58" s="233">
        <f t="shared" si="2"/>
        <v>0</v>
      </c>
    </row>
    <row r="59" spans="2:18" x14ac:dyDescent="0.25">
      <c r="B59" s="146">
        <v>17</v>
      </c>
      <c r="C59" s="131" t="s">
        <v>25</v>
      </c>
      <c r="D59" s="242" t="str">
        <f t="shared" ref="D59:J59" si="48">IF(ISBLANK(D57),"",D57)</f>
        <v/>
      </c>
      <c r="E59" s="244" t="str">
        <f t="shared" si="48"/>
        <v/>
      </c>
      <c r="F59" s="245" t="str">
        <f t="shared" si="48"/>
        <v/>
      </c>
      <c r="G59" s="245" t="str">
        <f t="shared" si="48"/>
        <v/>
      </c>
      <c r="H59" s="245" t="str">
        <f t="shared" si="48"/>
        <v/>
      </c>
      <c r="I59" s="238" t="str">
        <f t="shared" si="48"/>
        <v/>
      </c>
      <c r="J59" s="238" t="str">
        <f t="shared" si="48"/>
        <v/>
      </c>
      <c r="K59" s="238" t="str">
        <f>IF(NOT(ISBLANK(E57)),$K$31,"")</f>
        <v/>
      </c>
      <c r="L59" s="408"/>
      <c r="M59" s="408"/>
      <c r="N59" s="408"/>
      <c r="O59" s="408"/>
      <c r="P59" s="408"/>
      <c r="Q59" s="408"/>
      <c r="R59" s="233">
        <f t="shared" si="2"/>
        <v>0</v>
      </c>
    </row>
    <row r="60" spans="2:18" ht="15.6" x14ac:dyDescent="0.3">
      <c r="B60" s="157">
        <v>17</v>
      </c>
      <c r="C60" s="157" t="s">
        <v>199</v>
      </c>
      <c r="D60" s="243" t="str">
        <f t="shared" ref="D60:J60" si="49">IF(ISBLANK(D57),"",D57)</f>
        <v/>
      </c>
      <c r="E60" s="246" t="str">
        <f t="shared" si="49"/>
        <v/>
      </c>
      <c r="F60" s="247" t="str">
        <f t="shared" si="49"/>
        <v/>
      </c>
      <c r="G60" s="247" t="str">
        <f t="shared" si="49"/>
        <v/>
      </c>
      <c r="H60" s="247" t="str">
        <f t="shared" si="49"/>
        <v/>
      </c>
      <c r="I60" s="239" t="str">
        <f t="shared" si="49"/>
        <v/>
      </c>
      <c r="J60" s="239" t="str">
        <f t="shared" si="49"/>
        <v/>
      </c>
      <c r="K60" s="239" t="str">
        <f>IF(NOT(ISBLANK(E57)),$K$32,"")</f>
        <v/>
      </c>
      <c r="L60" s="239">
        <f t="shared" ref="L60" si="50">SUM(L57:L59)</f>
        <v>0</v>
      </c>
      <c r="M60" s="239">
        <f>SUM(M57:M59)</f>
        <v>0</v>
      </c>
      <c r="N60" s="239">
        <f>SUM(N57:N59)</f>
        <v>0</v>
      </c>
      <c r="O60" s="239">
        <f t="shared" ref="O60" si="51">SUM(O57:O59)</f>
        <v>0</v>
      </c>
      <c r="P60" s="239">
        <f t="shared" ref="P60" si="52">SUM(P57:P59)</f>
        <v>0</v>
      </c>
      <c r="Q60" s="239">
        <f t="shared" ref="Q60" si="53">SUM(Q57:Q59)</f>
        <v>0</v>
      </c>
      <c r="R60" s="239">
        <f t="shared" si="2"/>
        <v>0</v>
      </c>
    </row>
    <row r="61" spans="2:18" x14ac:dyDescent="0.25">
      <c r="B61" s="146">
        <v>18</v>
      </c>
      <c r="C61" s="155" t="s">
        <v>22</v>
      </c>
      <c r="D61" s="242" t="str">
        <f>IF(R64&lt;&gt;0,VLOOKUP($E$9,Info_County_Code,2,FALSE),"")</f>
        <v/>
      </c>
      <c r="E61" s="364"/>
      <c r="F61" s="449"/>
      <c r="G61" s="449"/>
      <c r="H61" s="449"/>
      <c r="I61" s="408"/>
      <c r="J61" s="408"/>
      <c r="K61" s="238" t="str">
        <f>IF(NOT(ISBLANK(E61)),$K$29,"")</f>
        <v/>
      </c>
      <c r="L61" s="408"/>
      <c r="M61" s="408"/>
      <c r="N61" s="408"/>
      <c r="O61" s="408"/>
      <c r="P61" s="408"/>
      <c r="Q61" s="408"/>
      <c r="R61" s="233">
        <f t="shared" ref="R61:R92" si="54">SUM(L61:Q61)</f>
        <v>0</v>
      </c>
    </row>
    <row r="62" spans="2:18" x14ac:dyDescent="0.25">
      <c r="B62" s="146">
        <v>18</v>
      </c>
      <c r="C62" s="131" t="s">
        <v>23</v>
      </c>
      <c r="D62" s="242" t="str">
        <f t="shared" ref="D62:J62" si="55">IF(ISBLANK(D61),"",D61)</f>
        <v/>
      </c>
      <c r="E62" s="244" t="str">
        <f t="shared" si="55"/>
        <v/>
      </c>
      <c r="F62" s="245" t="str">
        <f t="shared" si="55"/>
        <v/>
      </c>
      <c r="G62" s="245" t="str">
        <f t="shared" si="55"/>
        <v/>
      </c>
      <c r="H62" s="245" t="str">
        <f t="shared" si="55"/>
        <v/>
      </c>
      <c r="I62" s="238" t="str">
        <f t="shared" si="55"/>
        <v/>
      </c>
      <c r="J62" s="238" t="str">
        <f t="shared" si="55"/>
        <v/>
      </c>
      <c r="K62" s="238" t="str">
        <f>IF(NOT(ISBLANK(E61)),$K$30,"")</f>
        <v/>
      </c>
      <c r="L62" s="408"/>
      <c r="M62" s="408"/>
      <c r="N62" s="408"/>
      <c r="O62" s="408"/>
      <c r="P62" s="408"/>
      <c r="Q62" s="408"/>
      <c r="R62" s="233">
        <f t="shared" si="54"/>
        <v>0</v>
      </c>
    </row>
    <row r="63" spans="2:18" x14ac:dyDescent="0.25">
      <c r="B63" s="146">
        <v>18</v>
      </c>
      <c r="C63" s="131" t="s">
        <v>25</v>
      </c>
      <c r="D63" s="242" t="str">
        <f t="shared" ref="D63:J63" si="56">IF(ISBLANK(D61),"",D61)</f>
        <v/>
      </c>
      <c r="E63" s="244" t="str">
        <f t="shared" si="56"/>
        <v/>
      </c>
      <c r="F63" s="245" t="str">
        <f t="shared" si="56"/>
        <v/>
      </c>
      <c r="G63" s="245" t="str">
        <f t="shared" si="56"/>
        <v/>
      </c>
      <c r="H63" s="245" t="str">
        <f t="shared" si="56"/>
        <v/>
      </c>
      <c r="I63" s="238" t="str">
        <f t="shared" si="56"/>
        <v/>
      </c>
      <c r="J63" s="238" t="str">
        <f t="shared" si="56"/>
        <v/>
      </c>
      <c r="K63" s="238" t="str">
        <f>IF(NOT(ISBLANK(E61)),$K$31,"")</f>
        <v/>
      </c>
      <c r="L63" s="408"/>
      <c r="M63" s="408"/>
      <c r="N63" s="408"/>
      <c r="O63" s="408"/>
      <c r="P63" s="408"/>
      <c r="Q63" s="408"/>
      <c r="R63" s="233">
        <f t="shared" si="54"/>
        <v>0</v>
      </c>
    </row>
    <row r="64" spans="2:18" ht="15.6" x14ac:dyDescent="0.3">
      <c r="B64" s="157">
        <v>18</v>
      </c>
      <c r="C64" s="157" t="s">
        <v>199</v>
      </c>
      <c r="D64" s="243" t="str">
        <f t="shared" ref="D64:J64" si="57">IF(ISBLANK(D61),"",D61)</f>
        <v/>
      </c>
      <c r="E64" s="246" t="str">
        <f t="shared" si="57"/>
        <v/>
      </c>
      <c r="F64" s="247" t="str">
        <f t="shared" si="57"/>
        <v/>
      </c>
      <c r="G64" s="247" t="str">
        <f t="shared" si="57"/>
        <v/>
      </c>
      <c r="H64" s="247" t="str">
        <f t="shared" si="57"/>
        <v/>
      </c>
      <c r="I64" s="239" t="str">
        <f t="shared" si="57"/>
        <v/>
      </c>
      <c r="J64" s="239" t="str">
        <f t="shared" si="57"/>
        <v/>
      </c>
      <c r="K64" s="239" t="str">
        <f>IF(NOT(ISBLANK(E61)),$K$32,"")</f>
        <v/>
      </c>
      <c r="L64" s="239">
        <f t="shared" ref="L64" si="58">SUM(L61:L63)</f>
        <v>0</v>
      </c>
      <c r="M64" s="239">
        <f>SUM(M61:M63)</f>
        <v>0</v>
      </c>
      <c r="N64" s="239">
        <f>SUM(N61:N63)</f>
        <v>0</v>
      </c>
      <c r="O64" s="239">
        <f t="shared" ref="O64" si="59">SUM(O61:O63)</f>
        <v>0</v>
      </c>
      <c r="P64" s="239">
        <f t="shared" ref="P64" si="60">SUM(P61:P63)</f>
        <v>0</v>
      </c>
      <c r="Q64" s="239">
        <f t="shared" ref="Q64" si="61">SUM(Q61:Q63)</f>
        <v>0</v>
      </c>
      <c r="R64" s="239">
        <f t="shared" si="54"/>
        <v>0</v>
      </c>
    </row>
    <row r="65" spans="2:18" x14ac:dyDescent="0.25">
      <c r="B65" s="146">
        <v>19</v>
      </c>
      <c r="C65" s="155" t="s">
        <v>22</v>
      </c>
      <c r="D65" s="242" t="str">
        <f>IF(R68&lt;&gt;0,VLOOKUP($E$9,Info_County_Code,2,FALSE),"")</f>
        <v/>
      </c>
      <c r="E65" s="364"/>
      <c r="F65" s="449"/>
      <c r="G65" s="449"/>
      <c r="H65" s="449"/>
      <c r="I65" s="408"/>
      <c r="J65" s="408"/>
      <c r="K65" s="238" t="str">
        <f>IF(NOT(ISBLANK(E65)),$K$29,"")</f>
        <v/>
      </c>
      <c r="L65" s="408"/>
      <c r="M65" s="408"/>
      <c r="N65" s="408"/>
      <c r="O65" s="408"/>
      <c r="P65" s="408"/>
      <c r="Q65" s="408"/>
      <c r="R65" s="233">
        <f t="shared" si="54"/>
        <v>0</v>
      </c>
    </row>
    <row r="66" spans="2:18" x14ac:dyDescent="0.25">
      <c r="B66" s="146">
        <v>19</v>
      </c>
      <c r="C66" s="131" t="s">
        <v>23</v>
      </c>
      <c r="D66" s="242" t="str">
        <f t="shared" ref="D66:J66" si="62">IF(ISBLANK(D65),"",D65)</f>
        <v/>
      </c>
      <c r="E66" s="244" t="str">
        <f t="shared" si="62"/>
        <v/>
      </c>
      <c r="F66" s="245" t="str">
        <f t="shared" si="62"/>
        <v/>
      </c>
      <c r="G66" s="245" t="str">
        <f t="shared" si="62"/>
        <v/>
      </c>
      <c r="H66" s="245" t="str">
        <f t="shared" si="62"/>
        <v/>
      </c>
      <c r="I66" s="238" t="str">
        <f t="shared" si="62"/>
        <v/>
      </c>
      <c r="J66" s="238" t="str">
        <f t="shared" si="62"/>
        <v/>
      </c>
      <c r="K66" s="238" t="str">
        <f>IF(NOT(ISBLANK(E65)),$K$30,"")</f>
        <v/>
      </c>
      <c r="L66" s="408"/>
      <c r="M66" s="408"/>
      <c r="N66" s="408"/>
      <c r="O66" s="408"/>
      <c r="P66" s="408"/>
      <c r="Q66" s="408"/>
      <c r="R66" s="233">
        <f t="shared" si="54"/>
        <v>0</v>
      </c>
    </row>
    <row r="67" spans="2:18" x14ac:dyDescent="0.25">
      <c r="B67" s="146">
        <v>19</v>
      </c>
      <c r="C67" s="131" t="s">
        <v>25</v>
      </c>
      <c r="D67" s="242" t="str">
        <f t="shared" ref="D67:J67" si="63">IF(ISBLANK(D65),"",D65)</f>
        <v/>
      </c>
      <c r="E67" s="244" t="str">
        <f t="shared" si="63"/>
        <v/>
      </c>
      <c r="F67" s="245" t="str">
        <f t="shared" si="63"/>
        <v/>
      </c>
      <c r="G67" s="245" t="str">
        <f t="shared" si="63"/>
        <v/>
      </c>
      <c r="H67" s="245" t="str">
        <f t="shared" si="63"/>
        <v/>
      </c>
      <c r="I67" s="238" t="str">
        <f t="shared" si="63"/>
        <v/>
      </c>
      <c r="J67" s="238" t="str">
        <f t="shared" si="63"/>
        <v/>
      </c>
      <c r="K67" s="238" t="str">
        <f>IF(NOT(ISBLANK(E65)),$K$31,"")</f>
        <v/>
      </c>
      <c r="L67" s="408"/>
      <c r="M67" s="408"/>
      <c r="N67" s="408"/>
      <c r="O67" s="408"/>
      <c r="P67" s="408"/>
      <c r="Q67" s="408"/>
      <c r="R67" s="233">
        <f t="shared" si="54"/>
        <v>0</v>
      </c>
    </row>
    <row r="68" spans="2:18" ht="15.6" x14ac:dyDescent="0.3">
      <c r="B68" s="157">
        <v>19</v>
      </c>
      <c r="C68" s="157" t="s">
        <v>199</v>
      </c>
      <c r="D68" s="243" t="str">
        <f t="shared" ref="D68:J68" si="64">IF(ISBLANK(D65),"",D65)</f>
        <v/>
      </c>
      <c r="E68" s="246" t="str">
        <f t="shared" si="64"/>
        <v/>
      </c>
      <c r="F68" s="247" t="str">
        <f t="shared" si="64"/>
        <v/>
      </c>
      <c r="G68" s="247" t="str">
        <f t="shared" si="64"/>
        <v/>
      </c>
      <c r="H68" s="247" t="str">
        <f t="shared" si="64"/>
        <v/>
      </c>
      <c r="I68" s="239" t="str">
        <f t="shared" si="64"/>
        <v/>
      </c>
      <c r="J68" s="239" t="str">
        <f t="shared" si="64"/>
        <v/>
      </c>
      <c r="K68" s="239" t="str">
        <f>IF(NOT(ISBLANK(E65)),$K$32,"")</f>
        <v/>
      </c>
      <c r="L68" s="239">
        <f t="shared" ref="L68" si="65">SUM(L65:L67)</f>
        <v>0</v>
      </c>
      <c r="M68" s="239">
        <f>SUM(M65:M67)</f>
        <v>0</v>
      </c>
      <c r="N68" s="239">
        <f>SUM(N65:N67)</f>
        <v>0</v>
      </c>
      <c r="O68" s="239">
        <f t="shared" ref="O68" si="66">SUM(O65:O67)</f>
        <v>0</v>
      </c>
      <c r="P68" s="239">
        <f t="shared" ref="P68" si="67">SUM(P65:P67)</f>
        <v>0</v>
      </c>
      <c r="Q68" s="239">
        <f t="shared" ref="Q68" si="68">SUM(Q65:Q67)</f>
        <v>0</v>
      </c>
      <c r="R68" s="239">
        <f t="shared" si="54"/>
        <v>0</v>
      </c>
    </row>
    <row r="69" spans="2:18" x14ac:dyDescent="0.25">
      <c r="B69" s="146">
        <v>20</v>
      </c>
      <c r="C69" s="155" t="s">
        <v>22</v>
      </c>
      <c r="D69" s="242" t="str">
        <f>IF(R72&lt;&gt;0,VLOOKUP($E$9,Info_County_Code,2,FALSE),"")</f>
        <v/>
      </c>
      <c r="E69" s="364"/>
      <c r="F69" s="449"/>
      <c r="G69" s="449"/>
      <c r="H69" s="449"/>
      <c r="I69" s="408"/>
      <c r="J69" s="408"/>
      <c r="K69" s="238" t="str">
        <f>IF(NOT(ISBLANK(E69)),$K$29,"")</f>
        <v/>
      </c>
      <c r="L69" s="408"/>
      <c r="M69" s="408"/>
      <c r="N69" s="408"/>
      <c r="O69" s="408"/>
      <c r="P69" s="408"/>
      <c r="Q69" s="408"/>
      <c r="R69" s="233">
        <f t="shared" si="54"/>
        <v>0</v>
      </c>
    </row>
    <row r="70" spans="2:18" x14ac:dyDescent="0.25">
      <c r="B70" s="146">
        <v>20</v>
      </c>
      <c r="C70" s="131" t="s">
        <v>23</v>
      </c>
      <c r="D70" s="242" t="str">
        <f t="shared" ref="D70:J70" si="69">IF(ISBLANK(D69),"",D69)</f>
        <v/>
      </c>
      <c r="E70" s="244" t="str">
        <f t="shared" si="69"/>
        <v/>
      </c>
      <c r="F70" s="245" t="str">
        <f t="shared" si="69"/>
        <v/>
      </c>
      <c r="G70" s="245" t="str">
        <f t="shared" si="69"/>
        <v/>
      </c>
      <c r="H70" s="245" t="str">
        <f t="shared" si="69"/>
        <v/>
      </c>
      <c r="I70" s="238" t="str">
        <f t="shared" si="69"/>
        <v/>
      </c>
      <c r="J70" s="238" t="str">
        <f t="shared" si="69"/>
        <v/>
      </c>
      <c r="K70" s="238" t="str">
        <f>IF(NOT(ISBLANK(E69)),$K$30,"")</f>
        <v/>
      </c>
      <c r="L70" s="408"/>
      <c r="M70" s="408"/>
      <c r="N70" s="408"/>
      <c r="O70" s="408"/>
      <c r="P70" s="408"/>
      <c r="Q70" s="408"/>
      <c r="R70" s="233">
        <f t="shared" si="54"/>
        <v>0</v>
      </c>
    </row>
    <row r="71" spans="2:18" x14ac:dyDescent="0.25">
      <c r="B71" s="146">
        <v>20</v>
      </c>
      <c r="C71" s="131" t="s">
        <v>25</v>
      </c>
      <c r="D71" s="242" t="str">
        <f t="shared" ref="D71:J71" si="70">IF(ISBLANK(D69),"",D69)</f>
        <v/>
      </c>
      <c r="E71" s="244" t="str">
        <f t="shared" si="70"/>
        <v/>
      </c>
      <c r="F71" s="245" t="str">
        <f t="shared" si="70"/>
        <v/>
      </c>
      <c r="G71" s="245" t="str">
        <f t="shared" si="70"/>
        <v/>
      </c>
      <c r="H71" s="245" t="str">
        <f t="shared" si="70"/>
        <v/>
      </c>
      <c r="I71" s="238" t="str">
        <f t="shared" si="70"/>
        <v/>
      </c>
      <c r="J71" s="238" t="str">
        <f t="shared" si="70"/>
        <v/>
      </c>
      <c r="K71" s="238" t="str">
        <f>IF(NOT(ISBLANK(E69)),$K$31,"")</f>
        <v/>
      </c>
      <c r="L71" s="408"/>
      <c r="M71" s="408"/>
      <c r="N71" s="408"/>
      <c r="O71" s="408"/>
      <c r="P71" s="408"/>
      <c r="Q71" s="408"/>
      <c r="R71" s="233">
        <f t="shared" si="54"/>
        <v>0</v>
      </c>
    </row>
    <row r="72" spans="2:18" ht="15.6" x14ac:dyDescent="0.3">
      <c r="B72" s="157">
        <v>20</v>
      </c>
      <c r="C72" s="157" t="s">
        <v>199</v>
      </c>
      <c r="D72" s="243" t="str">
        <f t="shared" ref="D72:J72" si="71">IF(ISBLANK(D69),"",D69)</f>
        <v/>
      </c>
      <c r="E72" s="246" t="str">
        <f t="shared" si="71"/>
        <v/>
      </c>
      <c r="F72" s="247" t="str">
        <f t="shared" si="71"/>
        <v/>
      </c>
      <c r="G72" s="247" t="str">
        <f t="shared" si="71"/>
        <v/>
      </c>
      <c r="H72" s="247" t="str">
        <f t="shared" si="71"/>
        <v/>
      </c>
      <c r="I72" s="239" t="str">
        <f t="shared" si="71"/>
        <v/>
      </c>
      <c r="J72" s="239" t="str">
        <f t="shared" si="71"/>
        <v/>
      </c>
      <c r="K72" s="239" t="str">
        <f>IF(NOT(ISBLANK(E69)),$K$32,"")</f>
        <v/>
      </c>
      <c r="L72" s="239">
        <f t="shared" ref="L72" si="72">SUM(L69:L71)</f>
        <v>0</v>
      </c>
      <c r="M72" s="239">
        <f>SUM(M69:M71)</f>
        <v>0</v>
      </c>
      <c r="N72" s="239">
        <f>SUM(N69:N71)</f>
        <v>0</v>
      </c>
      <c r="O72" s="239">
        <f t="shared" ref="O72" si="73">SUM(O69:O71)</f>
        <v>0</v>
      </c>
      <c r="P72" s="239">
        <f t="shared" ref="P72" si="74">SUM(P69:P71)</f>
        <v>0</v>
      </c>
      <c r="Q72" s="239">
        <f t="shared" ref="Q72" si="75">SUM(Q69:Q71)</f>
        <v>0</v>
      </c>
      <c r="R72" s="239">
        <f t="shared" si="54"/>
        <v>0</v>
      </c>
    </row>
    <row r="73" spans="2:18" x14ac:dyDescent="0.25">
      <c r="B73" s="146">
        <v>21</v>
      </c>
      <c r="C73" s="155" t="s">
        <v>22</v>
      </c>
      <c r="D73" s="242" t="str">
        <f>IF(R76&lt;&gt;0,VLOOKUP($E$9,Info_County_Code,2,FALSE),"")</f>
        <v/>
      </c>
      <c r="E73" s="364"/>
      <c r="F73" s="449"/>
      <c r="G73" s="449"/>
      <c r="H73" s="449"/>
      <c r="I73" s="408"/>
      <c r="J73" s="408"/>
      <c r="K73" s="238" t="str">
        <f>IF(NOT(ISBLANK(E73)),$K$29,"")</f>
        <v/>
      </c>
      <c r="L73" s="408"/>
      <c r="M73" s="408"/>
      <c r="N73" s="408"/>
      <c r="O73" s="408"/>
      <c r="P73" s="408"/>
      <c r="Q73" s="408"/>
      <c r="R73" s="233">
        <f t="shared" si="54"/>
        <v>0</v>
      </c>
    </row>
    <row r="74" spans="2:18" x14ac:dyDescent="0.25">
      <c r="B74" s="146">
        <v>21</v>
      </c>
      <c r="C74" s="131" t="s">
        <v>23</v>
      </c>
      <c r="D74" s="242" t="str">
        <f t="shared" ref="D74:J74" si="76">IF(ISBLANK(D73),"",D73)</f>
        <v/>
      </c>
      <c r="E74" s="244" t="str">
        <f t="shared" si="76"/>
        <v/>
      </c>
      <c r="F74" s="245" t="str">
        <f t="shared" si="76"/>
        <v/>
      </c>
      <c r="G74" s="245" t="str">
        <f t="shared" si="76"/>
        <v/>
      </c>
      <c r="H74" s="245" t="str">
        <f t="shared" si="76"/>
        <v/>
      </c>
      <c r="I74" s="238" t="str">
        <f t="shared" si="76"/>
        <v/>
      </c>
      <c r="J74" s="238" t="str">
        <f t="shared" si="76"/>
        <v/>
      </c>
      <c r="K74" s="238" t="str">
        <f>IF(NOT(ISBLANK(E73)),$K$30,"")</f>
        <v/>
      </c>
      <c r="L74" s="408"/>
      <c r="M74" s="408"/>
      <c r="N74" s="408"/>
      <c r="O74" s="408"/>
      <c r="P74" s="408"/>
      <c r="Q74" s="408"/>
      <c r="R74" s="233">
        <f t="shared" si="54"/>
        <v>0</v>
      </c>
    </row>
    <row r="75" spans="2:18" x14ac:dyDescent="0.25">
      <c r="B75" s="146">
        <v>21</v>
      </c>
      <c r="C75" s="131" t="s">
        <v>25</v>
      </c>
      <c r="D75" s="242" t="str">
        <f t="shared" ref="D75:J75" si="77">IF(ISBLANK(D73),"",D73)</f>
        <v/>
      </c>
      <c r="E75" s="244" t="str">
        <f t="shared" si="77"/>
        <v/>
      </c>
      <c r="F75" s="245" t="str">
        <f t="shared" si="77"/>
        <v/>
      </c>
      <c r="G75" s="245" t="str">
        <f t="shared" si="77"/>
        <v/>
      </c>
      <c r="H75" s="245" t="str">
        <f t="shared" si="77"/>
        <v/>
      </c>
      <c r="I75" s="238" t="str">
        <f t="shared" si="77"/>
        <v/>
      </c>
      <c r="J75" s="238" t="str">
        <f t="shared" si="77"/>
        <v/>
      </c>
      <c r="K75" s="238" t="str">
        <f>IF(NOT(ISBLANK(E73)),$K$31,"")</f>
        <v/>
      </c>
      <c r="L75" s="408"/>
      <c r="M75" s="408"/>
      <c r="N75" s="408"/>
      <c r="O75" s="408"/>
      <c r="P75" s="408"/>
      <c r="Q75" s="408"/>
      <c r="R75" s="233">
        <f t="shared" si="54"/>
        <v>0</v>
      </c>
    </row>
    <row r="76" spans="2:18" ht="15.6" x14ac:dyDescent="0.3">
      <c r="B76" s="157">
        <v>21</v>
      </c>
      <c r="C76" s="157" t="s">
        <v>199</v>
      </c>
      <c r="D76" s="243" t="str">
        <f t="shared" ref="D76:J76" si="78">IF(ISBLANK(D73),"",D73)</f>
        <v/>
      </c>
      <c r="E76" s="246" t="str">
        <f t="shared" si="78"/>
        <v/>
      </c>
      <c r="F76" s="247" t="str">
        <f t="shared" si="78"/>
        <v/>
      </c>
      <c r="G76" s="247" t="str">
        <f t="shared" si="78"/>
        <v/>
      </c>
      <c r="H76" s="247" t="str">
        <f t="shared" si="78"/>
        <v/>
      </c>
      <c r="I76" s="239" t="str">
        <f t="shared" si="78"/>
        <v/>
      </c>
      <c r="J76" s="239" t="str">
        <f t="shared" si="78"/>
        <v/>
      </c>
      <c r="K76" s="239" t="str">
        <f>IF(NOT(ISBLANK(E73)),$K$32,"")</f>
        <v/>
      </c>
      <c r="L76" s="239">
        <f t="shared" ref="L76" si="79">SUM(L73:L75)</f>
        <v>0</v>
      </c>
      <c r="M76" s="239">
        <f>SUM(M73:M75)</f>
        <v>0</v>
      </c>
      <c r="N76" s="239">
        <f>SUM(N73:N75)</f>
        <v>0</v>
      </c>
      <c r="O76" s="239">
        <f t="shared" ref="O76" si="80">SUM(O73:O75)</f>
        <v>0</v>
      </c>
      <c r="P76" s="239">
        <f t="shared" ref="P76" si="81">SUM(P73:P75)</f>
        <v>0</v>
      </c>
      <c r="Q76" s="239">
        <f t="shared" ref="Q76" si="82">SUM(Q73:Q75)</f>
        <v>0</v>
      </c>
      <c r="R76" s="239">
        <f t="shared" si="54"/>
        <v>0</v>
      </c>
    </row>
    <row r="77" spans="2:18" x14ac:dyDescent="0.25">
      <c r="B77" s="146">
        <v>22</v>
      </c>
      <c r="C77" s="155" t="s">
        <v>22</v>
      </c>
      <c r="D77" s="242" t="str">
        <f>IF(R80&lt;&gt;0,VLOOKUP($E$9,Info_County_Code,2,FALSE),"")</f>
        <v/>
      </c>
      <c r="E77" s="364"/>
      <c r="F77" s="449"/>
      <c r="G77" s="449"/>
      <c r="H77" s="449"/>
      <c r="I77" s="408"/>
      <c r="J77" s="408"/>
      <c r="K77" s="238" t="str">
        <f>IF(NOT(ISBLANK(E77)),$K$29,"")</f>
        <v/>
      </c>
      <c r="L77" s="408"/>
      <c r="M77" s="408"/>
      <c r="N77" s="408"/>
      <c r="O77" s="408"/>
      <c r="P77" s="408"/>
      <c r="Q77" s="408"/>
      <c r="R77" s="233">
        <f t="shared" si="54"/>
        <v>0</v>
      </c>
    </row>
    <row r="78" spans="2:18" x14ac:dyDescent="0.25">
      <c r="B78" s="146">
        <v>22</v>
      </c>
      <c r="C78" s="131" t="s">
        <v>23</v>
      </c>
      <c r="D78" s="242" t="str">
        <f t="shared" ref="D78:J78" si="83">IF(ISBLANK(D77),"",D77)</f>
        <v/>
      </c>
      <c r="E78" s="244" t="str">
        <f t="shared" si="83"/>
        <v/>
      </c>
      <c r="F78" s="245" t="str">
        <f t="shared" si="83"/>
        <v/>
      </c>
      <c r="G78" s="245" t="str">
        <f t="shared" si="83"/>
        <v/>
      </c>
      <c r="H78" s="245" t="str">
        <f t="shared" si="83"/>
        <v/>
      </c>
      <c r="I78" s="238" t="str">
        <f t="shared" si="83"/>
        <v/>
      </c>
      <c r="J78" s="238" t="str">
        <f t="shared" si="83"/>
        <v/>
      </c>
      <c r="K78" s="238" t="str">
        <f>IF(NOT(ISBLANK(E77)),$K$30,"")</f>
        <v/>
      </c>
      <c r="L78" s="408"/>
      <c r="M78" s="408"/>
      <c r="N78" s="408"/>
      <c r="O78" s="408"/>
      <c r="P78" s="408"/>
      <c r="Q78" s="408"/>
      <c r="R78" s="233">
        <f t="shared" si="54"/>
        <v>0</v>
      </c>
    </row>
    <row r="79" spans="2:18" x14ac:dyDescent="0.25">
      <c r="B79" s="146">
        <v>22</v>
      </c>
      <c r="C79" s="131" t="s">
        <v>25</v>
      </c>
      <c r="D79" s="242" t="str">
        <f t="shared" ref="D79:J79" si="84">IF(ISBLANK(D77),"",D77)</f>
        <v/>
      </c>
      <c r="E79" s="244" t="str">
        <f t="shared" si="84"/>
        <v/>
      </c>
      <c r="F79" s="245" t="str">
        <f t="shared" si="84"/>
        <v/>
      </c>
      <c r="G79" s="245" t="str">
        <f t="shared" si="84"/>
        <v/>
      </c>
      <c r="H79" s="245" t="str">
        <f t="shared" si="84"/>
        <v/>
      </c>
      <c r="I79" s="238" t="str">
        <f t="shared" si="84"/>
        <v/>
      </c>
      <c r="J79" s="238" t="str">
        <f t="shared" si="84"/>
        <v/>
      </c>
      <c r="K79" s="238" t="str">
        <f>IF(NOT(ISBLANK(E77)),$K$31,"")</f>
        <v/>
      </c>
      <c r="L79" s="408"/>
      <c r="M79" s="408"/>
      <c r="N79" s="408"/>
      <c r="O79" s="408"/>
      <c r="P79" s="408"/>
      <c r="Q79" s="408"/>
      <c r="R79" s="233">
        <f t="shared" si="54"/>
        <v>0</v>
      </c>
    </row>
    <row r="80" spans="2:18" ht="15.6" x14ac:dyDescent="0.3">
      <c r="B80" s="157">
        <v>22</v>
      </c>
      <c r="C80" s="157" t="s">
        <v>199</v>
      </c>
      <c r="D80" s="243" t="str">
        <f t="shared" ref="D80:J80" si="85">IF(ISBLANK(D77),"",D77)</f>
        <v/>
      </c>
      <c r="E80" s="246" t="str">
        <f t="shared" si="85"/>
        <v/>
      </c>
      <c r="F80" s="247" t="str">
        <f t="shared" si="85"/>
        <v/>
      </c>
      <c r="G80" s="247" t="str">
        <f t="shared" si="85"/>
        <v/>
      </c>
      <c r="H80" s="247" t="str">
        <f t="shared" si="85"/>
        <v/>
      </c>
      <c r="I80" s="239" t="str">
        <f t="shared" si="85"/>
        <v/>
      </c>
      <c r="J80" s="239" t="str">
        <f t="shared" si="85"/>
        <v/>
      </c>
      <c r="K80" s="239" t="str">
        <f>IF(NOT(ISBLANK(E77)),$K$32,"")</f>
        <v/>
      </c>
      <c r="L80" s="239">
        <f t="shared" ref="L80" si="86">SUM(L77:L79)</f>
        <v>0</v>
      </c>
      <c r="M80" s="239">
        <f>SUM(M77:M79)</f>
        <v>0</v>
      </c>
      <c r="N80" s="239">
        <f>SUM(N77:N79)</f>
        <v>0</v>
      </c>
      <c r="O80" s="239">
        <f t="shared" ref="O80" si="87">SUM(O77:O79)</f>
        <v>0</v>
      </c>
      <c r="P80" s="239">
        <f t="shared" ref="P80" si="88">SUM(P77:P79)</f>
        <v>0</v>
      </c>
      <c r="Q80" s="239">
        <f t="shared" ref="Q80" si="89">SUM(Q77:Q79)</f>
        <v>0</v>
      </c>
      <c r="R80" s="239">
        <f t="shared" si="54"/>
        <v>0</v>
      </c>
    </row>
    <row r="81" spans="2:18" x14ac:dyDescent="0.25">
      <c r="B81" s="146">
        <v>23</v>
      </c>
      <c r="C81" s="155" t="s">
        <v>22</v>
      </c>
      <c r="D81" s="242" t="str">
        <f>IF(R84&lt;&gt;0,VLOOKUP($E$9,Info_County_Code,2,FALSE),"")</f>
        <v/>
      </c>
      <c r="E81" s="364"/>
      <c r="F81" s="449"/>
      <c r="G81" s="449"/>
      <c r="H81" s="449"/>
      <c r="I81" s="408"/>
      <c r="J81" s="408"/>
      <c r="K81" s="238" t="str">
        <f>IF(NOT(ISBLANK(E81)),$K$29,"")</f>
        <v/>
      </c>
      <c r="L81" s="408"/>
      <c r="M81" s="408"/>
      <c r="N81" s="408"/>
      <c r="O81" s="408"/>
      <c r="P81" s="408"/>
      <c r="Q81" s="408"/>
      <c r="R81" s="233">
        <f t="shared" si="54"/>
        <v>0</v>
      </c>
    </row>
    <row r="82" spans="2:18" x14ac:dyDescent="0.25">
      <c r="B82" s="146">
        <v>23</v>
      </c>
      <c r="C82" s="131" t="s">
        <v>23</v>
      </c>
      <c r="D82" s="242" t="str">
        <f t="shared" ref="D82:J82" si="90">IF(ISBLANK(D81),"",D81)</f>
        <v/>
      </c>
      <c r="E82" s="244" t="str">
        <f t="shared" si="90"/>
        <v/>
      </c>
      <c r="F82" s="245" t="str">
        <f t="shared" si="90"/>
        <v/>
      </c>
      <c r="G82" s="245" t="str">
        <f t="shared" si="90"/>
        <v/>
      </c>
      <c r="H82" s="245" t="str">
        <f t="shared" si="90"/>
        <v/>
      </c>
      <c r="I82" s="238" t="str">
        <f t="shared" si="90"/>
        <v/>
      </c>
      <c r="J82" s="238" t="str">
        <f t="shared" si="90"/>
        <v/>
      </c>
      <c r="K82" s="238" t="str">
        <f>IF(NOT(ISBLANK(E81)),$K$30,"")</f>
        <v/>
      </c>
      <c r="L82" s="408"/>
      <c r="M82" s="408"/>
      <c r="N82" s="408"/>
      <c r="O82" s="408"/>
      <c r="P82" s="408"/>
      <c r="Q82" s="408"/>
      <c r="R82" s="233">
        <f t="shared" si="54"/>
        <v>0</v>
      </c>
    </row>
    <row r="83" spans="2:18" x14ac:dyDescent="0.25">
      <c r="B83" s="146">
        <v>23</v>
      </c>
      <c r="C83" s="131" t="s">
        <v>25</v>
      </c>
      <c r="D83" s="242" t="str">
        <f t="shared" ref="D83:J83" si="91">IF(ISBLANK(D81),"",D81)</f>
        <v/>
      </c>
      <c r="E83" s="244" t="str">
        <f t="shared" si="91"/>
        <v/>
      </c>
      <c r="F83" s="245" t="str">
        <f t="shared" si="91"/>
        <v/>
      </c>
      <c r="G83" s="245" t="str">
        <f t="shared" si="91"/>
        <v/>
      </c>
      <c r="H83" s="245" t="str">
        <f t="shared" si="91"/>
        <v/>
      </c>
      <c r="I83" s="238" t="str">
        <f t="shared" si="91"/>
        <v/>
      </c>
      <c r="J83" s="238" t="str">
        <f t="shared" si="91"/>
        <v/>
      </c>
      <c r="K83" s="238" t="str">
        <f>IF(NOT(ISBLANK(E81)),$K$31,"")</f>
        <v/>
      </c>
      <c r="L83" s="408"/>
      <c r="M83" s="408"/>
      <c r="N83" s="408"/>
      <c r="O83" s="408"/>
      <c r="P83" s="408"/>
      <c r="Q83" s="408"/>
      <c r="R83" s="233">
        <f t="shared" si="54"/>
        <v>0</v>
      </c>
    </row>
    <row r="84" spans="2:18" ht="15.6" x14ac:dyDescent="0.3">
      <c r="B84" s="157">
        <v>23</v>
      </c>
      <c r="C84" s="157" t="s">
        <v>199</v>
      </c>
      <c r="D84" s="243" t="str">
        <f t="shared" ref="D84:J84" si="92">IF(ISBLANK(D81),"",D81)</f>
        <v/>
      </c>
      <c r="E84" s="246" t="str">
        <f t="shared" si="92"/>
        <v/>
      </c>
      <c r="F84" s="247" t="str">
        <f t="shared" si="92"/>
        <v/>
      </c>
      <c r="G84" s="247" t="str">
        <f t="shared" si="92"/>
        <v/>
      </c>
      <c r="H84" s="247" t="str">
        <f t="shared" si="92"/>
        <v/>
      </c>
      <c r="I84" s="239" t="str">
        <f t="shared" si="92"/>
        <v/>
      </c>
      <c r="J84" s="239" t="str">
        <f t="shared" si="92"/>
        <v/>
      </c>
      <c r="K84" s="239" t="str">
        <f>IF(NOT(ISBLANK(E81)),$K$32,"")</f>
        <v/>
      </c>
      <c r="L84" s="239">
        <f t="shared" ref="L84" si="93">SUM(L81:L83)</f>
        <v>0</v>
      </c>
      <c r="M84" s="239">
        <f>SUM(M81:M83)</f>
        <v>0</v>
      </c>
      <c r="N84" s="239">
        <f>SUM(N81:N83)</f>
        <v>0</v>
      </c>
      <c r="O84" s="239">
        <f t="shared" ref="O84" si="94">SUM(O81:O83)</f>
        <v>0</v>
      </c>
      <c r="P84" s="239">
        <f t="shared" ref="P84" si="95">SUM(P81:P83)</f>
        <v>0</v>
      </c>
      <c r="Q84" s="239">
        <f t="shared" ref="Q84" si="96">SUM(Q81:Q83)</f>
        <v>0</v>
      </c>
      <c r="R84" s="239">
        <f t="shared" si="54"/>
        <v>0</v>
      </c>
    </row>
    <row r="85" spans="2:18" x14ac:dyDescent="0.25">
      <c r="B85" s="146">
        <v>24</v>
      </c>
      <c r="C85" s="155" t="s">
        <v>22</v>
      </c>
      <c r="D85" s="242" t="str">
        <f>IF(R88&lt;&gt;0,VLOOKUP($E$9,Info_County_Code,2,FALSE),"")</f>
        <v/>
      </c>
      <c r="E85" s="364"/>
      <c r="F85" s="449"/>
      <c r="G85" s="449"/>
      <c r="H85" s="449"/>
      <c r="I85" s="408"/>
      <c r="J85" s="408"/>
      <c r="K85" s="238" t="str">
        <f>IF(NOT(ISBLANK(E85)),$K$29,"")</f>
        <v/>
      </c>
      <c r="L85" s="408"/>
      <c r="M85" s="408"/>
      <c r="N85" s="408"/>
      <c r="O85" s="408"/>
      <c r="P85" s="408"/>
      <c r="Q85" s="408"/>
      <c r="R85" s="233">
        <f t="shared" si="54"/>
        <v>0</v>
      </c>
    </row>
    <row r="86" spans="2:18" x14ac:dyDescent="0.25">
      <c r="B86" s="146">
        <v>24</v>
      </c>
      <c r="C86" s="131" t="s">
        <v>23</v>
      </c>
      <c r="D86" s="242" t="str">
        <f t="shared" ref="D86:J86" si="97">IF(ISBLANK(D85),"",D85)</f>
        <v/>
      </c>
      <c r="E86" s="244" t="str">
        <f t="shared" si="97"/>
        <v/>
      </c>
      <c r="F86" s="245" t="str">
        <f t="shared" si="97"/>
        <v/>
      </c>
      <c r="G86" s="245" t="str">
        <f t="shared" si="97"/>
        <v/>
      </c>
      <c r="H86" s="245" t="str">
        <f t="shared" si="97"/>
        <v/>
      </c>
      <c r="I86" s="238" t="str">
        <f t="shared" si="97"/>
        <v/>
      </c>
      <c r="J86" s="238" t="str">
        <f t="shared" si="97"/>
        <v/>
      </c>
      <c r="K86" s="238" t="str">
        <f>IF(NOT(ISBLANK(E85)),$K$30,"")</f>
        <v/>
      </c>
      <c r="L86" s="408"/>
      <c r="M86" s="408"/>
      <c r="N86" s="408"/>
      <c r="O86" s="408"/>
      <c r="P86" s="408"/>
      <c r="Q86" s="408"/>
      <c r="R86" s="233">
        <f t="shared" si="54"/>
        <v>0</v>
      </c>
    </row>
    <row r="87" spans="2:18" x14ac:dyDescent="0.25">
      <c r="B87" s="146">
        <v>24</v>
      </c>
      <c r="C87" s="131" t="s">
        <v>25</v>
      </c>
      <c r="D87" s="242" t="str">
        <f t="shared" ref="D87:J87" si="98">IF(ISBLANK(D85),"",D85)</f>
        <v/>
      </c>
      <c r="E87" s="244" t="str">
        <f t="shared" si="98"/>
        <v/>
      </c>
      <c r="F87" s="245" t="str">
        <f t="shared" si="98"/>
        <v/>
      </c>
      <c r="G87" s="245" t="str">
        <f t="shared" si="98"/>
        <v/>
      </c>
      <c r="H87" s="245" t="str">
        <f t="shared" si="98"/>
        <v/>
      </c>
      <c r="I87" s="238" t="str">
        <f t="shared" si="98"/>
        <v/>
      </c>
      <c r="J87" s="238" t="str">
        <f t="shared" si="98"/>
        <v/>
      </c>
      <c r="K87" s="238" t="str">
        <f>IF(NOT(ISBLANK(E85)),$K$31,"")</f>
        <v/>
      </c>
      <c r="L87" s="408"/>
      <c r="M87" s="408"/>
      <c r="N87" s="408"/>
      <c r="O87" s="408"/>
      <c r="P87" s="408"/>
      <c r="Q87" s="408"/>
      <c r="R87" s="233">
        <f t="shared" si="54"/>
        <v>0</v>
      </c>
    </row>
    <row r="88" spans="2:18" ht="15.6" x14ac:dyDescent="0.3">
      <c r="B88" s="157">
        <v>24</v>
      </c>
      <c r="C88" s="157" t="s">
        <v>199</v>
      </c>
      <c r="D88" s="243" t="str">
        <f t="shared" ref="D88:J88" si="99">IF(ISBLANK(D85),"",D85)</f>
        <v/>
      </c>
      <c r="E88" s="246" t="str">
        <f t="shared" si="99"/>
        <v/>
      </c>
      <c r="F88" s="247" t="str">
        <f t="shared" si="99"/>
        <v/>
      </c>
      <c r="G88" s="247" t="str">
        <f t="shared" si="99"/>
        <v/>
      </c>
      <c r="H88" s="247" t="str">
        <f t="shared" si="99"/>
        <v/>
      </c>
      <c r="I88" s="239" t="str">
        <f t="shared" si="99"/>
        <v/>
      </c>
      <c r="J88" s="239" t="str">
        <f t="shared" si="99"/>
        <v/>
      </c>
      <c r="K88" s="239" t="str">
        <f>IF(NOT(ISBLANK(E85)),$K$32,"")</f>
        <v/>
      </c>
      <c r="L88" s="239">
        <f t="shared" ref="L88" si="100">SUM(L85:L87)</f>
        <v>0</v>
      </c>
      <c r="M88" s="239">
        <f>SUM(M85:M87)</f>
        <v>0</v>
      </c>
      <c r="N88" s="239">
        <f>SUM(N85:N87)</f>
        <v>0</v>
      </c>
      <c r="O88" s="239">
        <f t="shared" ref="O88:Q88" si="101">SUM(O85:O87)</f>
        <v>0</v>
      </c>
      <c r="P88" s="239">
        <f t="shared" si="101"/>
        <v>0</v>
      </c>
      <c r="Q88" s="239">
        <f t="shared" si="101"/>
        <v>0</v>
      </c>
      <c r="R88" s="239">
        <f t="shared" si="54"/>
        <v>0</v>
      </c>
    </row>
    <row r="89" spans="2:18" x14ac:dyDescent="0.25">
      <c r="B89" s="146">
        <v>25</v>
      </c>
      <c r="C89" s="155" t="s">
        <v>22</v>
      </c>
      <c r="D89" s="242" t="str">
        <f>IF(R92&lt;&gt;0,VLOOKUP($E$9,Info_County_Code,2,FALSE),"")</f>
        <v/>
      </c>
      <c r="E89" s="364"/>
      <c r="F89" s="449"/>
      <c r="G89" s="449"/>
      <c r="H89" s="449"/>
      <c r="I89" s="408"/>
      <c r="J89" s="408"/>
      <c r="K89" s="238" t="str">
        <f>IF(NOT(ISBLANK(E89)),$K$29,"")</f>
        <v/>
      </c>
      <c r="L89" s="408"/>
      <c r="M89" s="408"/>
      <c r="N89" s="408"/>
      <c r="O89" s="408"/>
      <c r="P89" s="408"/>
      <c r="Q89" s="408"/>
      <c r="R89" s="233">
        <f t="shared" si="54"/>
        <v>0</v>
      </c>
    </row>
    <row r="90" spans="2:18" x14ac:dyDescent="0.25">
      <c r="B90" s="146">
        <v>25</v>
      </c>
      <c r="C90" s="131" t="s">
        <v>23</v>
      </c>
      <c r="D90" s="242" t="str">
        <f t="shared" ref="D90:J90" si="102">IF(ISBLANK(D89),"",D89)</f>
        <v/>
      </c>
      <c r="E90" s="244" t="str">
        <f t="shared" si="102"/>
        <v/>
      </c>
      <c r="F90" s="245" t="str">
        <f t="shared" si="102"/>
        <v/>
      </c>
      <c r="G90" s="245" t="str">
        <f t="shared" si="102"/>
        <v/>
      </c>
      <c r="H90" s="245" t="str">
        <f t="shared" si="102"/>
        <v/>
      </c>
      <c r="I90" s="238" t="str">
        <f t="shared" si="102"/>
        <v/>
      </c>
      <c r="J90" s="238" t="str">
        <f t="shared" si="102"/>
        <v/>
      </c>
      <c r="K90" s="238" t="str">
        <f>IF(NOT(ISBLANK(E89)),$K$30,"")</f>
        <v/>
      </c>
      <c r="L90" s="408"/>
      <c r="M90" s="408"/>
      <c r="N90" s="408"/>
      <c r="O90" s="408"/>
      <c r="P90" s="408"/>
      <c r="Q90" s="408"/>
      <c r="R90" s="233">
        <f t="shared" si="54"/>
        <v>0</v>
      </c>
    </row>
    <row r="91" spans="2:18" x14ac:dyDescent="0.25">
      <c r="B91" s="146">
        <v>25</v>
      </c>
      <c r="C91" s="131" t="s">
        <v>25</v>
      </c>
      <c r="D91" s="242" t="str">
        <f t="shared" ref="D91:J91" si="103">IF(ISBLANK(D89),"",D89)</f>
        <v/>
      </c>
      <c r="E91" s="244" t="str">
        <f t="shared" si="103"/>
        <v/>
      </c>
      <c r="F91" s="245" t="str">
        <f t="shared" si="103"/>
        <v/>
      </c>
      <c r="G91" s="245" t="str">
        <f t="shared" si="103"/>
        <v/>
      </c>
      <c r="H91" s="245" t="str">
        <f t="shared" si="103"/>
        <v/>
      </c>
      <c r="I91" s="238" t="str">
        <f t="shared" si="103"/>
        <v/>
      </c>
      <c r="J91" s="238" t="str">
        <f t="shared" si="103"/>
        <v/>
      </c>
      <c r="K91" s="238" t="str">
        <f>IF(NOT(ISBLANK(E89)),$K$31,"")</f>
        <v/>
      </c>
      <c r="L91" s="408"/>
      <c r="M91" s="408"/>
      <c r="N91" s="408"/>
      <c r="O91" s="408"/>
      <c r="P91" s="408"/>
      <c r="Q91" s="408"/>
      <c r="R91" s="233">
        <f t="shared" si="54"/>
        <v>0</v>
      </c>
    </row>
    <row r="92" spans="2:18" ht="15.6" x14ac:dyDescent="0.3">
      <c r="B92" s="157">
        <v>25</v>
      </c>
      <c r="C92" s="157" t="s">
        <v>199</v>
      </c>
      <c r="D92" s="243" t="str">
        <f t="shared" ref="D92:J92" si="104">IF(ISBLANK(D89),"",D89)</f>
        <v/>
      </c>
      <c r="E92" s="246" t="str">
        <f t="shared" si="104"/>
        <v/>
      </c>
      <c r="F92" s="247" t="str">
        <f t="shared" si="104"/>
        <v/>
      </c>
      <c r="G92" s="247" t="str">
        <f t="shared" si="104"/>
        <v/>
      </c>
      <c r="H92" s="247" t="str">
        <f t="shared" si="104"/>
        <v/>
      </c>
      <c r="I92" s="239" t="str">
        <f t="shared" si="104"/>
        <v/>
      </c>
      <c r="J92" s="239" t="str">
        <f t="shared" si="104"/>
        <v/>
      </c>
      <c r="K92" s="239" t="str">
        <f>IF(NOT(ISBLANK(E89)),$K$32,"")</f>
        <v/>
      </c>
      <c r="L92" s="239">
        <f t="shared" ref="L92" si="105">SUM(L89:L91)</f>
        <v>0</v>
      </c>
      <c r="M92" s="239">
        <f>SUM(M89:M91)</f>
        <v>0</v>
      </c>
      <c r="N92" s="239">
        <f>SUM(N89:N91)</f>
        <v>0</v>
      </c>
      <c r="O92" s="239">
        <f t="shared" ref="O92:Q92" si="106">SUM(O89:O91)</f>
        <v>0</v>
      </c>
      <c r="P92" s="239">
        <f t="shared" si="106"/>
        <v>0</v>
      </c>
      <c r="Q92" s="239">
        <f t="shared" si="106"/>
        <v>0</v>
      </c>
      <c r="R92" s="239">
        <f t="shared" si="54"/>
        <v>0</v>
      </c>
    </row>
    <row r="93" spans="2:18" x14ac:dyDescent="0.25">
      <c r="B93" s="146">
        <v>26</v>
      </c>
      <c r="C93" s="155" t="s">
        <v>22</v>
      </c>
      <c r="D93" s="242" t="str">
        <f>IF(R96&lt;&gt;0,VLOOKUP($E$9,Info_County_Code,2,FALSE),"")</f>
        <v/>
      </c>
      <c r="E93" s="364"/>
      <c r="F93" s="449"/>
      <c r="G93" s="449"/>
      <c r="H93" s="449"/>
      <c r="I93" s="408"/>
      <c r="J93" s="408"/>
      <c r="K93" s="238" t="str">
        <f>IF(NOT(ISBLANK(E93)),$K$29,"")</f>
        <v/>
      </c>
      <c r="L93" s="408"/>
      <c r="M93" s="408"/>
      <c r="N93" s="408"/>
      <c r="O93" s="408"/>
      <c r="P93" s="408"/>
      <c r="Q93" s="408"/>
      <c r="R93" s="233">
        <f t="shared" ref="R93:R124" si="107">SUM(L93:Q93)</f>
        <v>0</v>
      </c>
    </row>
    <row r="94" spans="2:18" x14ac:dyDescent="0.25">
      <c r="B94" s="146">
        <v>26</v>
      </c>
      <c r="C94" s="131" t="s">
        <v>23</v>
      </c>
      <c r="D94" s="242" t="str">
        <f t="shared" ref="D94:J94" si="108">IF(ISBLANK(D93),"",D93)</f>
        <v/>
      </c>
      <c r="E94" s="244" t="str">
        <f t="shared" si="108"/>
        <v/>
      </c>
      <c r="F94" s="245" t="str">
        <f t="shared" si="108"/>
        <v/>
      </c>
      <c r="G94" s="245" t="str">
        <f t="shared" si="108"/>
        <v/>
      </c>
      <c r="H94" s="245" t="str">
        <f t="shared" si="108"/>
        <v/>
      </c>
      <c r="I94" s="238" t="str">
        <f t="shared" si="108"/>
        <v/>
      </c>
      <c r="J94" s="238" t="str">
        <f t="shared" si="108"/>
        <v/>
      </c>
      <c r="K94" s="238" t="str">
        <f>IF(NOT(ISBLANK(E93)),$K$30,"")</f>
        <v/>
      </c>
      <c r="L94" s="408"/>
      <c r="M94" s="408"/>
      <c r="N94" s="408"/>
      <c r="O94" s="408"/>
      <c r="P94" s="408"/>
      <c r="Q94" s="408"/>
      <c r="R94" s="233">
        <f t="shared" si="107"/>
        <v>0</v>
      </c>
    </row>
    <row r="95" spans="2:18" x14ac:dyDescent="0.25">
      <c r="B95" s="146">
        <v>26</v>
      </c>
      <c r="C95" s="131" t="s">
        <v>25</v>
      </c>
      <c r="D95" s="242" t="str">
        <f t="shared" ref="D95:J95" si="109">IF(ISBLANK(D93),"",D93)</f>
        <v/>
      </c>
      <c r="E95" s="244" t="str">
        <f t="shared" si="109"/>
        <v/>
      </c>
      <c r="F95" s="245" t="str">
        <f t="shared" si="109"/>
        <v/>
      </c>
      <c r="G95" s="245" t="str">
        <f t="shared" si="109"/>
        <v/>
      </c>
      <c r="H95" s="245" t="str">
        <f t="shared" si="109"/>
        <v/>
      </c>
      <c r="I95" s="238" t="str">
        <f t="shared" si="109"/>
        <v/>
      </c>
      <c r="J95" s="238" t="str">
        <f t="shared" si="109"/>
        <v/>
      </c>
      <c r="K95" s="238" t="str">
        <f>IF(NOT(ISBLANK(E93)),$K$31,"")</f>
        <v/>
      </c>
      <c r="L95" s="408"/>
      <c r="M95" s="408"/>
      <c r="N95" s="408"/>
      <c r="O95" s="408"/>
      <c r="P95" s="408"/>
      <c r="Q95" s="408"/>
      <c r="R95" s="233">
        <f t="shared" si="107"/>
        <v>0</v>
      </c>
    </row>
    <row r="96" spans="2:18" ht="15.6" x14ac:dyDescent="0.3">
      <c r="B96" s="157">
        <v>26</v>
      </c>
      <c r="C96" s="157" t="s">
        <v>199</v>
      </c>
      <c r="D96" s="243" t="str">
        <f t="shared" ref="D96:J96" si="110">IF(ISBLANK(D93),"",D93)</f>
        <v/>
      </c>
      <c r="E96" s="246" t="str">
        <f t="shared" si="110"/>
        <v/>
      </c>
      <c r="F96" s="247" t="str">
        <f t="shared" si="110"/>
        <v/>
      </c>
      <c r="G96" s="247" t="str">
        <f t="shared" si="110"/>
        <v/>
      </c>
      <c r="H96" s="247" t="str">
        <f t="shared" si="110"/>
        <v/>
      </c>
      <c r="I96" s="239" t="str">
        <f t="shared" si="110"/>
        <v/>
      </c>
      <c r="J96" s="239" t="str">
        <f t="shared" si="110"/>
        <v/>
      </c>
      <c r="K96" s="239" t="str">
        <f>IF(NOT(ISBLANK(E93)),$K$32,"")</f>
        <v/>
      </c>
      <c r="L96" s="239">
        <f t="shared" ref="L96" si="111">SUM(L93:L95)</f>
        <v>0</v>
      </c>
      <c r="M96" s="239">
        <f>SUM(M93:M95)</f>
        <v>0</v>
      </c>
      <c r="N96" s="239">
        <f>SUM(N93:N95)</f>
        <v>0</v>
      </c>
      <c r="O96" s="239">
        <f t="shared" ref="O96:Q96" si="112">SUM(O93:O95)</f>
        <v>0</v>
      </c>
      <c r="P96" s="239">
        <f t="shared" si="112"/>
        <v>0</v>
      </c>
      <c r="Q96" s="239">
        <f t="shared" si="112"/>
        <v>0</v>
      </c>
      <c r="R96" s="239">
        <f t="shared" si="107"/>
        <v>0</v>
      </c>
    </row>
    <row r="97" spans="2:18" x14ac:dyDescent="0.25">
      <c r="B97" s="146">
        <v>27</v>
      </c>
      <c r="C97" s="155" t="s">
        <v>22</v>
      </c>
      <c r="D97" s="242" t="str">
        <f>IF(R100&lt;&gt;0,VLOOKUP($E$9,Info_County_Code,2,FALSE),"")</f>
        <v/>
      </c>
      <c r="E97" s="364"/>
      <c r="F97" s="449"/>
      <c r="G97" s="449"/>
      <c r="H97" s="449"/>
      <c r="I97" s="408"/>
      <c r="J97" s="408"/>
      <c r="K97" s="238" t="str">
        <f>IF(NOT(ISBLANK(E97)),$K$29,"")</f>
        <v/>
      </c>
      <c r="L97" s="408"/>
      <c r="M97" s="408"/>
      <c r="N97" s="408"/>
      <c r="O97" s="408"/>
      <c r="P97" s="408"/>
      <c r="Q97" s="408"/>
      <c r="R97" s="233">
        <f t="shared" si="107"/>
        <v>0</v>
      </c>
    </row>
    <row r="98" spans="2:18" x14ac:dyDescent="0.25">
      <c r="B98" s="146">
        <v>27</v>
      </c>
      <c r="C98" s="131" t="s">
        <v>23</v>
      </c>
      <c r="D98" s="242" t="str">
        <f t="shared" ref="D98:J98" si="113">IF(ISBLANK(D97),"",D97)</f>
        <v/>
      </c>
      <c r="E98" s="244" t="str">
        <f t="shared" si="113"/>
        <v/>
      </c>
      <c r="F98" s="245" t="str">
        <f t="shared" si="113"/>
        <v/>
      </c>
      <c r="G98" s="245" t="str">
        <f t="shared" si="113"/>
        <v/>
      </c>
      <c r="H98" s="245" t="str">
        <f t="shared" si="113"/>
        <v/>
      </c>
      <c r="I98" s="238" t="str">
        <f t="shared" si="113"/>
        <v/>
      </c>
      <c r="J98" s="238" t="str">
        <f t="shared" si="113"/>
        <v/>
      </c>
      <c r="K98" s="238" t="str">
        <f>IF(NOT(ISBLANK(E97)),$K$30,"")</f>
        <v/>
      </c>
      <c r="L98" s="408"/>
      <c r="M98" s="408"/>
      <c r="N98" s="408"/>
      <c r="O98" s="408"/>
      <c r="P98" s="408"/>
      <c r="Q98" s="408"/>
      <c r="R98" s="233">
        <f t="shared" si="107"/>
        <v>0</v>
      </c>
    </row>
    <row r="99" spans="2:18" x14ac:dyDescent="0.25">
      <c r="B99" s="146">
        <v>27</v>
      </c>
      <c r="C99" s="131" t="s">
        <v>25</v>
      </c>
      <c r="D99" s="242" t="str">
        <f t="shared" ref="D99:J99" si="114">IF(ISBLANK(D97),"",D97)</f>
        <v/>
      </c>
      <c r="E99" s="244" t="str">
        <f t="shared" si="114"/>
        <v/>
      </c>
      <c r="F99" s="245" t="str">
        <f t="shared" si="114"/>
        <v/>
      </c>
      <c r="G99" s="245" t="str">
        <f t="shared" si="114"/>
        <v/>
      </c>
      <c r="H99" s="245" t="str">
        <f t="shared" si="114"/>
        <v/>
      </c>
      <c r="I99" s="238" t="str">
        <f t="shared" si="114"/>
        <v/>
      </c>
      <c r="J99" s="238" t="str">
        <f t="shared" si="114"/>
        <v/>
      </c>
      <c r="K99" s="238" t="str">
        <f>IF(NOT(ISBLANK(E97)),$K$31,"")</f>
        <v/>
      </c>
      <c r="L99" s="408"/>
      <c r="M99" s="408"/>
      <c r="N99" s="408"/>
      <c r="O99" s="408"/>
      <c r="P99" s="408"/>
      <c r="Q99" s="408"/>
      <c r="R99" s="233">
        <f t="shared" si="107"/>
        <v>0</v>
      </c>
    </row>
    <row r="100" spans="2:18" ht="15.6" x14ac:dyDescent="0.3">
      <c r="B100" s="157">
        <v>27</v>
      </c>
      <c r="C100" s="157" t="s">
        <v>199</v>
      </c>
      <c r="D100" s="243" t="str">
        <f t="shared" ref="D100:J100" si="115">IF(ISBLANK(D97),"",D97)</f>
        <v/>
      </c>
      <c r="E100" s="246" t="str">
        <f t="shared" si="115"/>
        <v/>
      </c>
      <c r="F100" s="247" t="str">
        <f t="shared" si="115"/>
        <v/>
      </c>
      <c r="G100" s="247" t="str">
        <f t="shared" si="115"/>
        <v/>
      </c>
      <c r="H100" s="247" t="str">
        <f t="shared" si="115"/>
        <v/>
      </c>
      <c r="I100" s="239" t="str">
        <f t="shared" si="115"/>
        <v/>
      </c>
      <c r="J100" s="239" t="str">
        <f t="shared" si="115"/>
        <v/>
      </c>
      <c r="K100" s="239" t="str">
        <f>IF(NOT(ISBLANK(E97)),$K$32,"")</f>
        <v/>
      </c>
      <c r="L100" s="239">
        <f t="shared" ref="L100" si="116">SUM(L97:L99)</f>
        <v>0</v>
      </c>
      <c r="M100" s="239">
        <f>SUM(M97:M99)</f>
        <v>0</v>
      </c>
      <c r="N100" s="239">
        <f>SUM(N97:N99)</f>
        <v>0</v>
      </c>
      <c r="O100" s="239">
        <f t="shared" ref="O100:Q100" si="117">SUM(O97:O99)</f>
        <v>0</v>
      </c>
      <c r="P100" s="239">
        <f t="shared" si="117"/>
        <v>0</v>
      </c>
      <c r="Q100" s="239">
        <f t="shared" si="117"/>
        <v>0</v>
      </c>
      <c r="R100" s="239">
        <f t="shared" si="107"/>
        <v>0</v>
      </c>
    </row>
    <row r="101" spans="2:18" x14ac:dyDescent="0.25">
      <c r="B101" s="146">
        <v>28</v>
      </c>
      <c r="C101" s="155" t="s">
        <v>22</v>
      </c>
      <c r="D101" s="242" t="str">
        <f>IF(R104&lt;&gt;0,VLOOKUP($E$9,Info_County_Code,2,FALSE),"")</f>
        <v/>
      </c>
      <c r="E101" s="364"/>
      <c r="F101" s="449"/>
      <c r="G101" s="449"/>
      <c r="H101" s="449"/>
      <c r="I101" s="408"/>
      <c r="J101" s="408"/>
      <c r="K101" s="238" t="str">
        <f>IF(NOT(ISBLANK(E101)),$K$29,"")</f>
        <v/>
      </c>
      <c r="L101" s="408"/>
      <c r="M101" s="408"/>
      <c r="N101" s="408"/>
      <c r="O101" s="408"/>
      <c r="P101" s="408"/>
      <c r="Q101" s="408"/>
      <c r="R101" s="233">
        <f t="shared" si="107"/>
        <v>0</v>
      </c>
    </row>
    <row r="102" spans="2:18" x14ac:dyDescent="0.25">
      <c r="B102" s="146">
        <v>28</v>
      </c>
      <c r="C102" s="131" t="s">
        <v>23</v>
      </c>
      <c r="D102" s="242" t="str">
        <f t="shared" ref="D102:J102" si="118">IF(ISBLANK(D101),"",D101)</f>
        <v/>
      </c>
      <c r="E102" s="244" t="str">
        <f t="shared" si="118"/>
        <v/>
      </c>
      <c r="F102" s="245" t="str">
        <f t="shared" si="118"/>
        <v/>
      </c>
      <c r="G102" s="245" t="str">
        <f t="shared" si="118"/>
        <v/>
      </c>
      <c r="H102" s="245" t="str">
        <f t="shared" si="118"/>
        <v/>
      </c>
      <c r="I102" s="238" t="str">
        <f t="shared" si="118"/>
        <v/>
      </c>
      <c r="J102" s="238" t="str">
        <f t="shared" si="118"/>
        <v/>
      </c>
      <c r="K102" s="238" t="str">
        <f>IF(NOT(ISBLANK(E101)),$K$30,"")</f>
        <v/>
      </c>
      <c r="L102" s="408"/>
      <c r="M102" s="408"/>
      <c r="N102" s="408"/>
      <c r="O102" s="408"/>
      <c r="P102" s="408"/>
      <c r="Q102" s="408"/>
      <c r="R102" s="233">
        <f t="shared" si="107"/>
        <v>0</v>
      </c>
    </row>
    <row r="103" spans="2:18" x14ac:dyDescent="0.25">
      <c r="B103" s="146">
        <v>28</v>
      </c>
      <c r="C103" s="131" t="s">
        <v>25</v>
      </c>
      <c r="D103" s="242" t="str">
        <f t="shared" ref="D103:J103" si="119">IF(ISBLANK(D101),"",D101)</f>
        <v/>
      </c>
      <c r="E103" s="244" t="str">
        <f t="shared" si="119"/>
        <v/>
      </c>
      <c r="F103" s="245" t="str">
        <f t="shared" si="119"/>
        <v/>
      </c>
      <c r="G103" s="245" t="str">
        <f t="shared" si="119"/>
        <v/>
      </c>
      <c r="H103" s="245" t="str">
        <f t="shared" si="119"/>
        <v/>
      </c>
      <c r="I103" s="238" t="str">
        <f t="shared" si="119"/>
        <v/>
      </c>
      <c r="J103" s="238" t="str">
        <f t="shared" si="119"/>
        <v/>
      </c>
      <c r="K103" s="238" t="str">
        <f>IF(NOT(ISBLANK(E101)),$K$31,"")</f>
        <v/>
      </c>
      <c r="L103" s="408"/>
      <c r="M103" s="408"/>
      <c r="N103" s="408"/>
      <c r="O103" s="408"/>
      <c r="P103" s="408"/>
      <c r="Q103" s="408"/>
      <c r="R103" s="233">
        <f t="shared" si="107"/>
        <v>0</v>
      </c>
    </row>
    <row r="104" spans="2:18" ht="15.6" x14ac:dyDescent="0.3">
      <c r="B104" s="157">
        <v>28</v>
      </c>
      <c r="C104" s="157" t="s">
        <v>199</v>
      </c>
      <c r="D104" s="243" t="str">
        <f t="shared" ref="D104:J104" si="120">IF(ISBLANK(D101),"",D101)</f>
        <v/>
      </c>
      <c r="E104" s="246" t="str">
        <f t="shared" si="120"/>
        <v/>
      </c>
      <c r="F104" s="247" t="str">
        <f t="shared" si="120"/>
        <v/>
      </c>
      <c r="G104" s="247" t="str">
        <f t="shared" si="120"/>
        <v/>
      </c>
      <c r="H104" s="247" t="str">
        <f t="shared" si="120"/>
        <v/>
      </c>
      <c r="I104" s="239" t="str">
        <f t="shared" si="120"/>
        <v/>
      </c>
      <c r="J104" s="239" t="str">
        <f t="shared" si="120"/>
        <v/>
      </c>
      <c r="K104" s="239" t="str">
        <f>IF(NOT(ISBLANK(E101)),$K$32,"")</f>
        <v/>
      </c>
      <c r="L104" s="239">
        <f t="shared" ref="L104" si="121">SUM(L101:L103)</f>
        <v>0</v>
      </c>
      <c r="M104" s="239">
        <f>SUM(M101:M103)</f>
        <v>0</v>
      </c>
      <c r="N104" s="239">
        <f>SUM(N101:N103)</f>
        <v>0</v>
      </c>
      <c r="O104" s="239">
        <f t="shared" ref="O104:Q104" si="122">SUM(O101:O103)</f>
        <v>0</v>
      </c>
      <c r="P104" s="239">
        <f t="shared" si="122"/>
        <v>0</v>
      </c>
      <c r="Q104" s="239">
        <f t="shared" si="122"/>
        <v>0</v>
      </c>
      <c r="R104" s="239">
        <f t="shared" si="107"/>
        <v>0</v>
      </c>
    </row>
    <row r="105" spans="2:18" x14ac:dyDescent="0.25">
      <c r="B105" s="146">
        <v>29</v>
      </c>
      <c r="C105" s="155" t="s">
        <v>22</v>
      </c>
      <c r="D105" s="242" t="str">
        <f>IF(R108&lt;&gt;0,VLOOKUP($E$9,Info_County_Code,2,FALSE),"")</f>
        <v/>
      </c>
      <c r="E105" s="364"/>
      <c r="F105" s="449"/>
      <c r="G105" s="449"/>
      <c r="H105" s="449"/>
      <c r="I105" s="408"/>
      <c r="J105" s="408"/>
      <c r="K105" s="238" t="str">
        <f>IF(NOT(ISBLANK(E105)),$K$29,"")</f>
        <v/>
      </c>
      <c r="L105" s="408"/>
      <c r="M105" s="408"/>
      <c r="N105" s="408"/>
      <c r="O105" s="408"/>
      <c r="P105" s="408"/>
      <c r="Q105" s="408"/>
      <c r="R105" s="233">
        <f t="shared" si="107"/>
        <v>0</v>
      </c>
    </row>
    <row r="106" spans="2:18" x14ac:dyDescent="0.25">
      <c r="B106" s="146">
        <v>29</v>
      </c>
      <c r="C106" s="131" t="s">
        <v>23</v>
      </c>
      <c r="D106" s="242" t="str">
        <f t="shared" ref="D106:J106" si="123">IF(ISBLANK(D105),"",D105)</f>
        <v/>
      </c>
      <c r="E106" s="244" t="str">
        <f t="shared" si="123"/>
        <v/>
      </c>
      <c r="F106" s="245" t="str">
        <f t="shared" si="123"/>
        <v/>
      </c>
      <c r="G106" s="245" t="str">
        <f t="shared" si="123"/>
        <v/>
      </c>
      <c r="H106" s="245" t="str">
        <f t="shared" si="123"/>
        <v/>
      </c>
      <c r="I106" s="238" t="str">
        <f t="shared" si="123"/>
        <v/>
      </c>
      <c r="J106" s="238" t="str">
        <f t="shared" si="123"/>
        <v/>
      </c>
      <c r="K106" s="238" t="str">
        <f>IF(NOT(ISBLANK(E105)),$K$30,"")</f>
        <v/>
      </c>
      <c r="L106" s="408"/>
      <c r="M106" s="408"/>
      <c r="N106" s="408"/>
      <c r="O106" s="408"/>
      <c r="P106" s="408"/>
      <c r="Q106" s="408"/>
      <c r="R106" s="233">
        <f t="shared" si="107"/>
        <v>0</v>
      </c>
    </row>
    <row r="107" spans="2:18" x14ac:dyDescent="0.25">
      <c r="B107" s="146">
        <v>29</v>
      </c>
      <c r="C107" s="131" t="s">
        <v>25</v>
      </c>
      <c r="D107" s="242" t="str">
        <f t="shared" ref="D107:J107" si="124">IF(ISBLANK(D105),"",D105)</f>
        <v/>
      </c>
      <c r="E107" s="244" t="str">
        <f t="shared" si="124"/>
        <v/>
      </c>
      <c r="F107" s="245" t="str">
        <f t="shared" si="124"/>
        <v/>
      </c>
      <c r="G107" s="245" t="str">
        <f t="shared" si="124"/>
        <v/>
      </c>
      <c r="H107" s="245" t="str">
        <f t="shared" si="124"/>
        <v/>
      </c>
      <c r="I107" s="238" t="str">
        <f t="shared" si="124"/>
        <v/>
      </c>
      <c r="J107" s="238" t="str">
        <f t="shared" si="124"/>
        <v/>
      </c>
      <c r="K107" s="238" t="str">
        <f>IF(NOT(ISBLANK(E105)),$K$31,"")</f>
        <v/>
      </c>
      <c r="L107" s="408"/>
      <c r="M107" s="408"/>
      <c r="N107" s="408"/>
      <c r="O107" s="408"/>
      <c r="P107" s="408"/>
      <c r="Q107" s="408"/>
      <c r="R107" s="233">
        <f t="shared" si="107"/>
        <v>0</v>
      </c>
    </row>
    <row r="108" spans="2:18" ht="15.6" x14ac:dyDescent="0.3">
      <c r="B108" s="157">
        <v>29</v>
      </c>
      <c r="C108" s="157" t="s">
        <v>199</v>
      </c>
      <c r="D108" s="243" t="str">
        <f t="shared" ref="D108:J108" si="125">IF(ISBLANK(D105),"",D105)</f>
        <v/>
      </c>
      <c r="E108" s="246" t="str">
        <f t="shared" si="125"/>
        <v/>
      </c>
      <c r="F108" s="247" t="str">
        <f t="shared" si="125"/>
        <v/>
      </c>
      <c r="G108" s="247" t="str">
        <f t="shared" si="125"/>
        <v/>
      </c>
      <c r="H108" s="247" t="str">
        <f t="shared" si="125"/>
        <v/>
      </c>
      <c r="I108" s="239" t="str">
        <f t="shared" si="125"/>
        <v/>
      </c>
      <c r="J108" s="239" t="str">
        <f t="shared" si="125"/>
        <v/>
      </c>
      <c r="K108" s="239" t="str">
        <f>IF(NOT(ISBLANK(E105)),$K$32,"")</f>
        <v/>
      </c>
      <c r="L108" s="239">
        <f t="shared" ref="L108" si="126">SUM(L105:L107)</f>
        <v>0</v>
      </c>
      <c r="M108" s="239">
        <f>SUM(M105:M107)</f>
        <v>0</v>
      </c>
      <c r="N108" s="239">
        <f>SUM(N105:N107)</f>
        <v>0</v>
      </c>
      <c r="O108" s="239">
        <f t="shared" ref="O108:Q108" si="127">SUM(O105:O107)</f>
        <v>0</v>
      </c>
      <c r="P108" s="239">
        <f t="shared" si="127"/>
        <v>0</v>
      </c>
      <c r="Q108" s="239">
        <f t="shared" si="127"/>
        <v>0</v>
      </c>
      <c r="R108" s="239">
        <f t="shared" si="107"/>
        <v>0</v>
      </c>
    </row>
    <row r="109" spans="2:18" x14ac:dyDescent="0.25">
      <c r="B109" s="146">
        <v>30</v>
      </c>
      <c r="C109" s="155" t="s">
        <v>22</v>
      </c>
      <c r="D109" s="242" t="str">
        <f>IF(R112&lt;&gt;0,VLOOKUP($E$9,Info_County_Code,2,FALSE),"")</f>
        <v/>
      </c>
      <c r="E109" s="364"/>
      <c r="F109" s="449"/>
      <c r="G109" s="449"/>
      <c r="H109" s="449"/>
      <c r="I109" s="408"/>
      <c r="J109" s="408"/>
      <c r="K109" s="238" t="str">
        <f>IF(NOT(ISBLANK(E109)),$K$29,"")</f>
        <v/>
      </c>
      <c r="L109" s="408"/>
      <c r="M109" s="408"/>
      <c r="N109" s="408"/>
      <c r="O109" s="408"/>
      <c r="P109" s="408"/>
      <c r="Q109" s="408"/>
      <c r="R109" s="233">
        <f t="shared" si="107"/>
        <v>0</v>
      </c>
    </row>
    <row r="110" spans="2:18" x14ac:dyDescent="0.25">
      <c r="B110" s="146">
        <v>30</v>
      </c>
      <c r="C110" s="131" t="s">
        <v>23</v>
      </c>
      <c r="D110" s="242" t="str">
        <f t="shared" ref="D110:J110" si="128">IF(ISBLANK(D109),"",D109)</f>
        <v/>
      </c>
      <c r="E110" s="244" t="str">
        <f t="shared" si="128"/>
        <v/>
      </c>
      <c r="F110" s="245" t="str">
        <f t="shared" si="128"/>
        <v/>
      </c>
      <c r="G110" s="245" t="str">
        <f t="shared" si="128"/>
        <v/>
      </c>
      <c r="H110" s="245" t="str">
        <f t="shared" si="128"/>
        <v/>
      </c>
      <c r="I110" s="238" t="str">
        <f t="shared" si="128"/>
        <v/>
      </c>
      <c r="J110" s="238" t="str">
        <f t="shared" si="128"/>
        <v/>
      </c>
      <c r="K110" s="238" t="str">
        <f>IF(NOT(ISBLANK(E109)),$K$30,"")</f>
        <v/>
      </c>
      <c r="L110" s="408"/>
      <c r="M110" s="408"/>
      <c r="N110" s="408"/>
      <c r="O110" s="408"/>
      <c r="P110" s="408"/>
      <c r="Q110" s="408"/>
      <c r="R110" s="233">
        <f t="shared" si="107"/>
        <v>0</v>
      </c>
    </row>
    <row r="111" spans="2:18" x14ac:dyDescent="0.25">
      <c r="B111" s="146">
        <v>30</v>
      </c>
      <c r="C111" s="131" t="s">
        <v>25</v>
      </c>
      <c r="D111" s="242" t="str">
        <f t="shared" ref="D111:J111" si="129">IF(ISBLANK(D109),"",D109)</f>
        <v/>
      </c>
      <c r="E111" s="244" t="str">
        <f t="shared" si="129"/>
        <v/>
      </c>
      <c r="F111" s="245" t="str">
        <f t="shared" si="129"/>
        <v/>
      </c>
      <c r="G111" s="245" t="str">
        <f t="shared" si="129"/>
        <v/>
      </c>
      <c r="H111" s="245" t="str">
        <f t="shared" si="129"/>
        <v/>
      </c>
      <c r="I111" s="238" t="str">
        <f t="shared" si="129"/>
        <v/>
      </c>
      <c r="J111" s="238" t="str">
        <f t="shared" si="129"/>
        <v/>
      </c>
      <c r="K111" s="238" t="str">
        <f>IF(NOT(ISBLANK(E109)),$K$31,"")</f>
        <v/>
      </c>
      <c r="L111" s="408"/>
      <c r="M111" s="408"/>
      <c r="N111" s="408"/>
      <c r="O111" s="408"/>
      <c r="P111" s="408"/>
      <c r="Q111" s="408"/>
      <c r="R111" s="233">
        <f t="shared" si="107"/>
        <v>0</v>
      </c>
    </row>
    <row r="112" spans="2:18" ht="15.6" x14ac:dyDescent="0.3">
      <c r="B112" s="157">
        <v>30</v>
      </c>
      <c r="C112" s="157" t="s">
        <v>199</v>
      </c>
      <c r="D112" s="243" t="str">
        <f t="shared" ref="D112:J112" si="130">IF(ISBLANK(D109),"",D109)</f>
        <v/>
      </c>
      <c r="E112" s="246" t="str">
        <f t="shared" si="130"/>
        <v/>
      </c>
      <c r="F112" s="247" t="str">
        <f t="shared" si="130"/>
        <v/>
      </c>
      <c r="G112" s="247" t="str">
        <f t="shared" si="130"/>
        <v/>
      </c>
      <c r="H112" s="247" t="str">
        <f t="shared" si="130"/>
        <v/>
      </c>
      <c r="I112" s="239" t="str">
        <f t="shared" si="130"/>
        <v/>
      </c>
      <c r="J112" s="239" t="str">
        <f t="shared" si="130"/>
        <v/>
      </c>
      <c r="K112" s="239" t="str">
        <f>IF(NOT(ISBLANK(E109)),$K$32,"")</f>
        <v/>
      </c>
      <c r="L112" s="239">
        <f t="shared" ref="L112" si="131">SUM(L109:L111)</f>
        <v>0</v>
      </c>
      <c r="M112" s="239">
        <f>SUM(M109:M111)</f>
        <v>0</v>
      </c>
      <c r="N112" s="239">
        <f>SUM(N109:N111)</f>
        <v>0</v>
      </c>
      <c r="O112" s="239">
        <f t="shared" ref="O112:Q112" si="132">SUM(O109:O111)</f>
        <v>0</v>
      </c>
      <c r="P112" s="239">
        <f t="shared" si="132"/>
        <v>0</v>
      </c>
      <c r="Q112" s="239">
        <f t="shared" si="132"/>
        <v>0</v>
      </c>
      <c r="R112" s="239">
        <f t="shared" si="107"/>
        <v>0</v>
      </c>
    </row>
    <row r="113" spans="2:18" x14ac:dyDescent="0.25">
      <c r="B113" s="146">
        <v>31</v>
      </c>
      <c r="C113" s="155" t="s">
        <v>22</v>
      </c>
      <c r="D113" s="242" t="str">
        <f>IF(R116&lt;&gt;0,VLOOKUP($E$9,Info_County_Code,2,FALSE),"")</f>
        <v/>
      </c>
      <c r="E113" s="364"/>
      <c r="F113" s="449"/>
      <c r="G113" s="449"/>
      <c r="H113" s="449"/>
      <c r="I113" s="408"/>
      <c r="J113" s="408"/>
      <c r="K113" s="238" t="str">
        <f>IF(NOT(ISBLANK(E113)),$K$29,"")</f>
        <v/>
      </c>
      <c r="L113" s="408"/>
      <c r="M113" s="408"/>
      <c r="N113" s="408"/>
      <c r="O113" s="408"/>
      <c r="P113" s="408"/>
      <c r="Q113" s="408"/>
      <c r="R113" s="233">
        <f t="shared" si="107"/>
        <v>0</v>
      </c>
    </row>
    <row r="114" spans="2:18" x14ac:dyDescent="0.25">
      <c r="B114" s="146">
        <v>31</v>
      </c>
      <c r="C114" s="131" t="s">
        <v>23</v>
      </c>
      <c r="D114" s="242" t="str">
        <f t="shared" ref="D114:J114" si="133">IF(ISBLANK(D113),"",D113)</f>
        <v/>
      </c>
      <c r="E114" s="244" t="str">
        <f t="shared" si="133"/>
        <v/>
      </c>
      <c r="F114" s="245" t="str">
        <f t="shared" si="133"/>
        <v/>
      </c>
      <c r="G114" s="245" t="str">
        <f t="shared" si="133"/>
        <v/>
      </c>
      <c r="H114" s="245" t="str">
        <f t="shared" si="133"/>
        <v/>
      </c>
      <c r="I114" s="238" t="str">
        <f t="shared" si="133"/>
        <v/>
      </c>
      <c r="J114" s="238" t="str">
        <f t="shared" si="133"/>
        <v/>
      </c>
      <c r="K114" s="238" t="str">
        <f>IF(NOT(ISBLANK(E113)),$K$30,"")</f>
        <v/>
      </c>
      <c r="L114" s="408"/>
      <c r="M114" s="408"/>
      <c r="N114" s="408"/>
      <c r="O114" s="408"/>
      <c r="P114" s="408"/>
      <c r="Q114" s="408"/>
      <c r="R114" s="233">
        <f t="shared" si="107"/>
        <v>0</v>
      </c>
    </row>
    <row r="115" spans="2:18" x14ac:dyDescent="0.25">
      <c r="B115" s="146">
        <v>31</v>
      </c>
      <c r="C115" s="131" t="s">
        <v>25</v>
      </c>
      <c r="D115" s="242" t="str">
        <f t="shared" ref="D115:J115" si="134">IF(ISBLANK(D113),"",D113)</f>
        <v/>
      </c>
      <c r="E115" s="244" t="str">
        <f t="shared" si="134"/>
        <v/>
      </c>
      <c r="F115" s="245" t="str">
        <f t="shared" si="134"/>
        <v/>
      </c>
      <c r="G115" s="245" t="str">
        <f t="shared" si="134"/>
        <v/>
      </c>
      <c r="H115" s="245" t="str">
        <f t="shared" si="134"/>
        <v/>
      </c>
      <c r="I115" s="238" t="str">
        <f t="shared" si="134"/>
        <v/>
      </c>
      <c r="J115" s="238" t="str">
        <f t="shared" si="134"/>
        <v/>
      </c>
      <c r="K115" s="238" t="str">
        <f>IF(NOT(ISBLANK(E113)),$K$31,"")</f>
        <v/>
      </c>
      <c r="L115" s="408"/>
      <c r="M115" s="408"/>
      <c r="N115" s="408"/>
      <c r="O115" s="408"/>
      <c r="P115" s="408"/>
      <c r="Q115" s="408"/>
      <c r="R115" s="233">
        <f t="shared" si="107"/>
        <v>0</v>
      </c>
    </row>
    <row r="116" spans="2:18" ht="15.6" x14ac:dyDescent="0.3">
      <c r="B116" s="157">
        <v>31</v>
      </c>
      <c r="C116" s="157" t="s">
        <v>199</v>
      </c>
      <c r="D116" s="243" t="str">
        <f t="shared" ref="D116:J116" si="135">IF(ISBLANK(D113),"",D113)</f>
        <v/>
      </c>
      <c r="E116" s="246" t="str">
        <f t="shared" si="135"/>
        <v/>
      </c>
      <c r="F116" s="247" t="str">
        <f t="shared" si="135"/>
        <v/>
      </c>
      <c r="G116" s="247" t="str">
        <f t="shared" si="135"/>
        <v/>
      </c>
      <c r="H116" s="247" t="str">
        <f t="shared" si="135"/>
        <v/>
      </c>
      <c r="I116" s="239" t="str">
        <f t="shared" si="135"/>
        <v/>
      </c>
      <c r="J116" s="239" t="str">
        <f t="shared" si="135"/>
        <v/>
      </c>
      <c r="K116" s="239" t="str">
        <f>IF(NOT(ISBLANK(E113)),$K$32,"")</f>
        <v/>
      </c>
      <c r="L116" s="239">
        <f t="shared" ref="L116" si="136">SUM(L113:L115)</f>
        <v>0</v>
      </c>
      <c r="M116" s="239">
        <f>SUM(M113:M115)</f>
        <v>0</v>
      </c>
      <c r="N116" s="239">
        <f>SUM(N113:N115)</f>
        <v>0</v>
      </c>
      <c r="O116" s="239">
        <f t="shared" ref="O116:Q116" si="137">SUM(O113:O115)</f>
        <v>0</v>
      </c>
      <c r="P116" s="239">
        <f t="shared" si="137"/>
        <v>0</v>
      </c>
      <c r="Q116" s="239">
        <f t="shared" si="137"/>
        <v>0</v>
      </c>
      <c r="R116" s="239">
        <f t="shared" si="107"/>
        <v>0</v>
      </c>
    </row>
    <row r="117" spans="2:18" x14ac:dyDescent="0.25">
      <c r="B117" s="146">
        <v>32</v>
      </c>
      <c r="C117" s="155" t="s">
        <v>22</v>
      </c>
      <c r="D117" s="242" t="str">
        <f>IF(R120&lt;&gt;0,VLOOKUP($E$9,Info_County_Code,2,FALSE),"")</f>
        <v/>
      </c>
      <c r="E117" s="364"/>
      <c r="F117" s="449"/>
      <c r="G117" s="449"/>
      <c r="H117" s="449"/>
      <c r="I117" s="408"/>
      <c r="J117" s="408"/>
      <c r="K117" s="238" t="str">
        <f>IF(NOT(ISBLANK(E117)),$K$29,"")</f>
        <v/>
      </c>
      <c r="L117" s="408"/>
      <c r="M117" s="408"/>
      <c r="N117" s="408"/>
      <c r="O117" s="408"/>
      <c r="P117" s="408"/>
      <c r="Q117" s="408"/>
      <c r="R117" s="233">
        <f t="shared" si="107"/>
        <v>0</v>
      </c>
    </row>
    <row r="118" spans="2:18" x14ac:dyDescent="0.25">
      <c r="B118" s="146">
        <v>32</v>
      </c>
      <c r="C118" s="131" t="s">
        <v>23</v>
      </c>
      <c r="D118" s="242" t="str">
        <f t="shared" ref="D118:J118" si="138">IF(ISBLANK(D117),"",D117)</f>
        <v/>
      </c>
      <c r="E118" s="244" t="str">
        <f t="shared" si="138"/>
        <v/>
      </c>
      <c r="F118" s="245" t="str">
        <f t="shared" si="138"/>
        <v/>
      </c>
      <c r="G118" s="245" t="str">
        <f t="shared" si="138"/>
        <v/>
      </c>
      <c r="H118" s="245" t="str">
        <f t="shared" si="138"/>
        <v/>
      </c>
      <c r="I118" s="238" t="str">
        <f t="shared" si="138"/>
        <v/>
      </c>
      <c r="J118" s="238" t="str">
        <f t="shared" si="138"/>
        <v/>
      </c>
      <c r="K118" s="238" t="str">
        <f>IF(NOT(ISBLANK(E117)),$K$30,"")</f>
        <v/>
      </c>
      <c r="L118" s="408"/>
      <c r="M118" s="408"/>
      <c r="N118" s="408"/>
      <c r="O118" s="408"/>
      <c r="P118" s="408"/>
      <c r="Q118" s="408"/>
      <c r="R118" s="233">
        <f t="shared" si="107"/>
        <v>0</v>
      </c>
    </row>
    <row r="119" spans="2:18" x14ac:dyDescent="0.25">
      <c r="B119" s="146">
        <v>32</v>
      </c>
      <c r="C119" s="131" t="s">
        <v>25</v>
      </c>
      <c r="D119" s="242" t="str">
        <f t="shared" ref="D119:J119" si="139">IF(ISBLANK(D117),"",D117)</f>
        <v/>
      </c>
      <c r="E119" s="244" t="str">
        <f t="shared" si="139"/>
        <v/>
      </c>
      <c r="F119" s="245" t="str">
        <f t="shared" si="139"/>
        <v/>
      </c>
      <c r="G119" s="245" t="str">
        <f t="shared" si="139"/>
        <v/>
      </c>
      <c r="H119" s="245" t="str">
        <f t="shared" si="139"/>
        <v/>
      </c>
      <c r="I119" s="238" t="str">
        <f t="shared" si="139"/>
        <v/>
      </c>
      <c r="J119" s="238" t="str">
        <f t="shared" si="139"/>
        <v/>
      </c>
      <c r="K119" s="238" t="str">
        <f>IF(NOT(ISBLANK(E117)),$K$31,"")</f>
        <v/>
      </c>
      <c r="L119" s="408"/>
      <c r="M119" s="408"/>
      <c r="N119" s="408"/>
      <c r="O119" s="408"/>
      <c r="P119" s="408"/>
      <c r="Q119" s="408"/>
      <c r="R119" s="233">
        <f t="shared" si="107"/>
        <v>0</v>
      </c>
    </row>
    <row r="120" spans="2:18" ht="15.6" x14ac:dyDescent="0.3">
      <c r="B120" s="157">
        <v>32</v>
      </c>
      <c r="C120" s="157" t="s">
        <v>199</v>
      </c>
      <c r="D120" s="243" t="str">
        <f t="shared" ref="D120:J120" si="140">IF(ISBLANK(D117),"",D117)</f>
        <v/>
      </c>
      <c r="E120" s="246" t="str">
        <f t="shared" si="140"/>
        <v/>
      </c>
      <c r="F120" s="247" t="str">
        <f t="shared" si="140"/>
        <v/>
      </c>
      <c r="G120" s="247" t="str">
        <f t="shared" si="140"/>
        <v/>
      </c>
      <c r="H120" s="247" t="str">
        <f t="shared" si="140"/>
        <v/>
      </c>
      <c r="I120" s="239" t="str">
        <f t="shared" si="140"/>
        <v/>
      </c>
      <c r="J120" s="239" t="str">
        <f t="shared" si="140"/>
        <v/>
      </c>
      <c r="K120" s="239" t="str">
        <f>IF(NOT(ISBLANK(E117)),$K$32,"")</f>
        <v/>
      </c>
      <c r="L120" s="239">
        <f t="shared" ref="L120" si="141">SUM(L117:L119)</f>
        <v>0</v>
      </c>
      <c r="M120" s="239">
        <f>SUM(M117:M119)</f>
        <v>0</v>
      </c>
      <c r="N120" s="239">
        <f>SUM(N117:N119)</f>
        <v>0</v>
      </c>
      <c r="O120" s="239">
        <f t="shared" ref="O120:Q120" si="142">SUM(O117:O119)</f>
        <v>0</v>
      </c>
      <c r="P120" s="239">
        <f t="shared" si="142"/>
        <v>0</v>
      </c>
      <c r="Q120" s="239">
        <f t="shared" si="142"/>
        <v>0</v>
      </c>
      <c r="R120" s="239">
        <f t="shared" si="107"/>
        <v>0</v>
      </c>
    </row>
    <row r="121" spans="2:18" x14ac:dyDescent="0.25">
      <c r="B121" s="146">
        <v>33</v>
      </c>
      <c r="C121" s="155" t="s">
        <v>22</v>
      </c>
      <c r="D121" s="242" t="str">
        <f>IF(R124&lt;&gt;0,VLOOKUP($E$9,Info_County_Code,2,FALSE),"")</f>
        <v/>
      </c>
      <c r="E121" s="364"/>
      <c r="F121" s="449"/>
      <c r="G121" s="449"/>
      <c r="H121" s="449"/>
      <c r="I121" s="408"/>
      <c r="J121" s="408"/>
      <c r="K121" s="238" t="str">
        <f>IF(NOT(ISBLANK(E121)),$K$29,"")</f>
        <v/>
      </c>
      <c r="L121" s="408"/>
      <c r="M121" s="408"/>
      <c r="N121" s="408"/>
      <c r="O121" s="408"/>
      <c r="P121" s="408"/>
      <c r="Q121" s="408"/>
      <c r="R121" s="233">
        <f t="shared" si="107"/>
        <v>0</v>
      </c>
    </row>
    <row r="122" spans="2:18" x14ac:dyDescent="0.25">
      <c r="B122" s="146">
        <v>33</v>
      </c>
      <c r="C122" s="131" t="s">
        <v>23</v>
      </c>
      <c r="D122" s="242" t="str">
        <f t="shared" ref="D122:J122" si="143">IF(ISBLANK(D121),"",D121)</f>
        <v/>
      </c>
      <c r="E122" s="244" t="str">
        <f t="shared" si="143"/>
        <v/>
      </c>
      <c r="F122" s="245" t="str">
        <f t="shared" si="143"/>
        <v/>
      </c>
      <c r="G122" s="245" t="str">
        <f t="shared" si="143"/>
        <v/>
      </c>
      <c r="H122" s="245" t="str">
        <f t="shared" si="143"/>
        <v/>
      </c>
      <c r="I122" s="238" t="str">
        <f t="shared" si="143"/>
        <v/>
      </c>
      <c r="J122" s="238" t="str">
        <f t="shared" si="143"/>
        <v/>
      </c>
      <c r="K122" s="238" t="str">
        <f>IF(NOT(ISBLANK(E121)),$K$30,"")</f>
        <v/>
      </c>
      <c r="L122" s="408"/>
      <c r="M122" s="408"/>
      <c r="N122" s="408"/>
      <c r="O122" s="408"/>
      <c r="P122" s="408"/>
      <c r="Q122" s="408"/>
      <c r="R122" s="233">
        <f t="shared" si="107"/>
        <v>0</v>
      </c>
    </row>
    <row r="123" spans="2:18" x14ac:dyDescent="0.25">
      <c r="B123" s="146">
        <v>33</v>
      </c>
      <c r="C123" s="131" t="s">
        <v>25</v>
      </c>
      <c r="D123" s="242" t="str">
        <f t="shared" ref="D123:J123" si="144">IF(ISBLANK(D121),"",D121)</f>
        <v/>
      </c>
      <c r="E123" s="244" t="str">
        <f t="shared" si="144"/>
        <v/>
      </c>
      <c r="F123" s="245" t="str">
        <f t="shared" si="144"/>
        <v/>
      </c>
      <c r="G123" s="245" t="str">
        <f t="shared" si="144"/>
        <v/>
      </c>
      <c r="H123" s="245" t="str">
        <f t="shared" si="144"/>
        <v/>
      </c>
      <c r="I123" s="238" t="str">
        <f t="shared" si="144"/>
        <v/>
      </c>
      <c r="J123" s="238" t="str">
        <f t="shared" si="144"/>
        <v/>
      </c>
      <c r="K123" s="238" t="str">
        <f>IF(NOT(ISBLANK(E121)),$K$31,"")</f>
        <v/>
      </c>
      <c r="L123" s="408"/>
      <c r="M123" s="408"/>
      <c r="N123" s="408"/>
      <c r="O123" s="408"/>
      <c r="P123" s="408"/>
      <c r="Q123" s="408"/>
      <c r="R123" s="233">
        <f t="shared" si="107"/>
        <v>0</v>
      </c>
    </row>
    <row r="124" spans="2:18" ht="15.6" x14ac:dyDescent="0.3">
      <c r="B124" s="157">
        <v>33</v>
      </c>
      <c r="C124" s="157" t="s">
        <v>199</v>
      </c>
      <c r="D124" s="243" t="str">
        <f t="shared" ref="D124:J124" si="145">IF(ISBLANK(D121),"",D121)</f>
        <v/>
      </c>
      <c r="E124" s="246" t="str">
        <f t="shared" si="145"/>
        <v/>
      </c>
      <c r="F124" s="247" t="str">
        <f t="shared" si="145"/>
        <v/>
      </c>
      <c r="G124" s="247" t="str">
        <f t="shared" si="145"/>
        <v/>
      </c>
      <c r="H124" s="247" t="str">
        <f t="shared" si="145"/>
        <v/>
      </c>
      <c r="I124" s="239" t="str">
        <f t="shared" si="145"/>
        <v/>
      </c>
      <c r="J124" s="239" t="str">
        <f t="shared" si="145"/>
        <v/>
      </c>
      <c r="K124" s="239" t="str">
        <f>IF(NOT(ISBLANK(E121)),$K$32,"")</f>
        <v/>
      </c>
      <c r="L124" s="239">
        <f t="shared" ref="L124" si="146">SUM(L121:L123)</f>
        <v>0</v>
      </c>
      <c r="M124" s="239">
        <f>SUM(M121:M123)</f>
        <v>0</v>
      </c>
      <c r="N124" s="239">
        <f>SUM(N121:N123)</f>
        <v>0</v>
      </c>
      <c r="O124" s="239">
        <f t="shared" ref="O124:Q124" si="147">SUM(O121:O123)</f>
        <v>0</v>
      </c>
      <c r="P124" s="239">
        <f t="shared" si="147"/>
        <v>0</v>
      </c>
      <c r="Q124" s="239">
        <f t="shared" si="147"/>
        <v>0</v>
      </c>
      <c r="R124" s="239">
        <f t="shared" si="107"/>
        <v>0</v>
      </c>
    </row>
    <row r="125" spans="2:18" x14ac:dyDescent="0.25">
      <c r="B125" s="146">
        <v>34</v>
      </c>
      <c r="C125" s="155" t="s">
        <v>22</v>
      </c>
      <c r="D125" s="242" t="str">
        <f>IF(R128&lt;&gt;0,VLOOKUP($E$9,Info_County_Code,2,FALSE),"")</f>
        <v/>
      </c>
      <c r="E125" s="364"/>
      <c r="F125" s="449"/>
      <c r="G125" s="449"/>
      <c r="H125" s="449"/>
      <c r="I125" s="408"/>
      <c r="J125" s="408"/>
      <c r="K125" s="238" t="str">
        <f>IF(NOT(ISBLANK(E125)),$K$29,"")</f>
        <v/>
      </c>
      <c r="L125" s="408"/>
      <c r="M125" s="408"/>
      <c r="N125" s="408"/>
      <c r="O125" s="408"/>
      <c r="P125" s="408"/>
      <c r="Q125" s="408"/>
      <c r="R125" s="233">
        <f t="shared" ref="R125:R128" si="148">SUM(L125:Q125)</f>
        <v>0</v>
      </c>
    </row>
    <row r="126" spans="2:18" x14ac:dyDescent="0.25">
      <c r="B126" s="146">
        <v>34</v>
      </c>
      <c r="C126" s="131" t="s">
        <v>23</v>
      </c>
      <c r="D126" s="242" t="str">
        <f t="shared" ref="D126:J126" si="149">IF(ISBLANK(D125),"",D125)</f>
        <v/>
      </c>
      <c r="E126" s="244" t="str">
        <f t="shared" si="149"/>
        <v/>
      </c>
      <c r="F126" s="245" t="str">
        <f t="shared" si="149"/>
        <v/>
      </c>
      <c r="G126" s="245" t="str">
        <f t="shared" si="149"/>
        <v/>
      </c>
      <c r="H126" s="245" t="str">
        <f t="shared" si="149"/>
        <v/>
      </c>
      <c r="I126" s="238" t="str">
        <f t="shared" si="149"/>
        <v/>
      </c>
      <c r="J126" s="238" t="str">
        <f t="shared" si="149"/>
        <v/>
      </c>
      <c r="K126" s="238" t="str">
        <f>IF(NOT(ISBLANK(E125)),$K$30,"")</f>
        <v/>
      </c>
      <c r="L126" s="408"/>
      <c r="M126" s="408"/>
      <c r="N126" s="408"/>
      <c r="O126" s="408"/>
      <c r="P126" s="408"/>
      <c r="Q126" s="408"/>
      <c r="R126" s="233">
        <f t="shared" si="148"/>
        <v>0</v>
      </c>
    </row>
    <row r="127" spans="2:18" x14ac:dyDescent="0.25">
      <c r="B127" s="146">
        <v>34</v>
      </c>
      <c r="C127" s="131" t="s">
        <v>25</v>
      </c>
      <c r="D127" s="242" t="str">
        <f t="shared" ref="D127:J127" si="150">IF(ISBLANK(D125),"",D125)</f>
        <v/>
      </c>
      <c r="E127" s="244" t="str">
        <f t="shared" si="150"/>
        <v/>
      </c>
      <c r="F127" s="245" t="str">
        <f t="shared" si="150"/>
        <v/>
      </c>
      <c r="G127" s="245" t="str">
        <f t="shared" si="150"/>
        <v/>
      </c>
      <c r="H127" s="245" t="str">
        <f t="shared" si="150"/>
        <v/>
      </c>
      <c r="I127" s="238" t="str">
        <f t="shared" si="150"/>
        <v/>
      </c>
      <c r="J127" s="238" t="str">
        <f t="shared" si="150"/>
        <v/>
      </c>
      <c r="K127" s="238" t="str">
        <f>IF(NOT(ISBLANK(E125)),$K$31,"")</f>
        <v/>
      </c>
      <c r="L127" s="408"/>
      <c r="M127" s="408"/>
      <c r="N127" s="408"/>
      <c r="O127" s="408"/>
      <c r="P127" s="408"/>
      <c r="Q127" s="408"/>
      <c r="R127" s="233">
        <f t="shared" si="148"/>
        <v>0</v>
      </c>
    </row>
    <row r="128" spans="2:18" ht="15.6" x14ac:dyDescent="0.3">
      <c r="B128" s="157">
        <v>34</v>
      </c>
      <c r="C128" s="157" t="s">
        <v>199</v>
      </c>
      <c r="D128" s="243" t="str">
        <f t="shared" ref="D128:J128" si="151">IF(ISBLANK(D125),"",D125)</f>
        <v/>
      </c>
      <c r="E128" s="246" t="str">
        <f t="shared" si="151"/>
        <v/>
      </c>
      <c r="F128" s="247" t="str">
        <f t="shared" si="151"/>
        <v/>
      </c>
      <c r="G128" s="247" t="str">
        <f t="shared" si="151"/>
        <v/>
      </c>
      <c r="H128" s="247" t="str">
        <f t="shared" si="151"/>
        <v/>
      </c>
      <c r="I128" s="239" t="str">
        <f t="shared" si="151"/>
        <v/>
      </c>
      <c r="J128" s="239" t="str">
        <f t="shared" si="151"/>
        <v/>
      </c>
      <c r="K128" s="239" t="str">
        <f>IF(NOT(ISBLANK(E125)),$K$32,"")</f>
        <v/>
      </c>
      <c r="L128" s="239">
        <f t="shared" ref="L128" si="152">SUM(L125:L127)</f>
        <v>0</v>
      </c>
      <c r="M128" s="239">
        <f>SUM(M125:M127)</f>
        <v>0</v>
      </c>
      <c r="N128" s="239">
        <f>SUM(N125:N127)</f>
        <v>0</v>
      </c>
      <c r="O128" s="239">
        <f t="shared" ref="O128:Q128" si="153">SUM(O125:O127)</f>
        <v>0</v>
      </c>
      <c r="P128" s="239">
        <f t="shared" si="153"/>
        <v>0</v>
      </c>
      <c r="Q128" s="239">
        <f t="shared" si="153"/>
        <v>0</v>
      </c>
      <c r="R128" s="239">
        <f t="shared" si="148"/>
        <v>0</v>
      </c>
    </row>
  </sheetData>
  <sheetProtection algorithmName="SHA-512" hashValue="bKqNKUuSrzGQ3HHnIkq+CnBC4ef6kHQj876CD0Q7j/1lZbKQofWQb3ouLTEtY+MxSJjuLcfICqQprvEPKKYNWg==" saltValue="l/iQrqN5YhqH5c0rRvLHLg==" spinCount="100000" sheet="1" objects="1" scenarios="1" selectLockedCells="1"/>
  <customSheetViews>
    <customSheetView guid="{E7E6A24F-BA49-4C7A-9CED-3AB8F60308A1}" scale="85" showGridLines="0" printArea="1">
      <selection activeCell="J29" sqref="J29"/>
      <rowBreaks count="3" manualBreakCount="3">
        <brk id="24" min="1" max="15" man="1"/>
        <brk id="52" min="1" max="15" man="1"/>
        <brk id="92" min="1" max="15" man="1"/>
      </rowBreaks>
      <pageMargins left="0.25" right="0.25" top="0.75" bottom="0.75" header="0.3" footer="0.3"/>
      <pageSetup paperSize="5" scale="45" fitToWidth="0" fitToHeight="0" orientation="landscape" r:id="rId1"/>
      <headerFooter>
        <oddFooter>&amp;C&amp;"Arial,Regular"&amp;16Page &amp;P of &amp;N</oddFooter>
      </headerFooter>
    </customSheetView>
    <customSheetView guid="{7E50CCF5-45D0-4F7B-8896-9BA64DCA8A01}" scale="85" showGridLines="0" printArea="1" topLeftCell="F4">
      <selection activeCell="N28" sqref="N28"/>
      <rowBreaks count="3" manualBreakCount="3">
        <brk id="24" min="1" max="15" man="1"/>
        <brk id="52" min="1" max="15" man="1"/>
        <brk id="92" min="1" max="15" man="1"/>
      </rowBreaks>
      <pageMargins left="0.25" right="0.25" top="0.75" bottom="0.75" header="0.3" footer="0.3"/>
      <pageSetup paperSize="5" scale="45" fitToWidth="0" fitToHeight="0" orientation="landscape" r:id="rId2"/>
      <headerFooter>
        <oddFooter>&amp;C&amp;"Arial,Regular"&amp;16Page &amp;P of &amp;N</oddFooter>
      </headerFooter>
    </customSheetView>
    <customSheetView guid="{D8D3A042-2CA2-4641-BB44-BC182917D730}" scale="85" showGridLines="0" printArea="1" topLeftCell="F4">
      <selection activeCell="N28" sqref="N28"/>
      <rowBreaks count="3" manualBreakCount="3">
        <brk id="24" min="1" max="15" man="1"/>
        <brk id="52" min="1" max="15" man="1"/>
        <brk id="92" min="1" max="15" man="1"/>
      </rowBreaks>
      <pageMargins left="0.25" right="0.25" top="0.75" bottom="0.75" header="0.3" footer="0.3"/>
      <pageSetup paperSize="5" scale="45" fitToWidth="0" fitToHeight="0" orientation="landscape" r:id="rId3"/>
      <headerFooter>
        <oddFooter>&amp;C&amp;"Arial,Regular"&amp;16Page &amp;P of &amp;N</oddFooter>
      </headerFooter>
    </customSheetView>
  </customSheetViews>
  <dataValidations count="34">
    <dataValidation allowBlank="1" showInputMessage="1" showErrorMessage="1" prompt="Type in the Total MHSA Funds (Including Interest) for INN Annual Planning Costs. " sqref="F15" xr:uid="{00000000-0002-0000-0900-000000000000}"/>
    <dataValidation allowBlank="1" showInputMessage="1" showErrorMessage="1" prompt="Type in the Medi-Cal FFP for INN Annual Planning Costs. " sqref="G15" xr:uid="{00000000-0002-0000-0900-000001000000}"/>
    <dataValidation allowBlank="1" showInputMessage="1" showErrorMessage="1" prompt="Type in the 1991 Realignment for INN Annual Planning Costs. " sqref="H15" xr:uid="{00000000-0002-0000-0900-000002000000}"/>
    <dataValidation allowBlank="1" showInputMessage="1" showErrorMessage="1" prompt="Type in the Behavioral Health Subaccount amount for INN Annual Planning Costs. " sqref="I15" xr:uid="{00000000-0002-0000-0900-000003000000}"/>
    <dataValidation allowBlank="1" showInputMessage="1" showErrorMessage="1" prompt="Type in Other funds for INN Annual Planning Costs. " sqref="J15" xr:uid="{00000000-0002-0000-0900-000004000000}"/>
    <dataValidation allowBlank="1" showInputMessage="1" showErrorMessage="1" prompt="Type in Other funds for INN Indirect Administration." sqref="J16" xr:uid="{00000000-0002-0000-0900-000005000000}"/>
    <dataValidation allowBlank="1" showInputMessage="1" showErrorMessage="1" prompt="Type in the Behavioral Health Subaccount amount for INN Indirect Administration." sqref="I16" xr:uid="{00000000-0002-0000-0900-000006000000}"/>
    <dataValidation allowBlank="1" showInputMessage="1" showErrorMessage="1" prompt="Type in the 1991 Realignment for INN Indirect Administration. " sqref="H16" xr:uid="{00000000-0002-0000-0900-000007000000}"/>
    <dataValidation allowBlank="1" showInputMessage="1" showErrorMessage="1" prompt="Type in the Medi-Cal FFP for INN Indirect Administration." sqref="G16" xr:uid="{00000000-0002-0000-0900-000008000000}"/>
    <dataValidation allowBlank="1" showInputMessage="1" showErrorMessage="1" prompt="Type in the Total MHSA Funds (Including Interest) for INN Project Adminstration. " sqref="F18" xr:uid="{00000000-0002-0000-0900-000009000000}"/>
    <dataValidation allowBlank="1" showInputMessage="1" showErrorMessage="1" prompt="Type in the Total MHSA Funds (Including Interest) for INN Indirect Administration." sqref="F16" xr:uid="{00000000-0002-0000-0900-00000A000000}"/>
    <dataValidation allowBlank="1" showInputMessage="1" showErrorMessage="1" prompt="Type in the Total MHSA Funds (Including Interest) for INN Funds Transferred to JPA." sqref="F17" xr:uid="{00000000-0002-0000-0900-00000B000000}"/>
    <dataValidation allowBlank="1" showInputMessage="1" showErrorMessage="1" prompt="Type in Project Name. " sqref="E29 E33 E37 E41 E45 E49 E53 E57 E61 E65 E69 E73 E77 E81 E85 E89 E93 E97 E101 E105 E109 E113 E117 E121 E125" xr:uid="{00000000-0002-0000-0900-00000C000000}"/>
    <dataValidation allowBlank="1" showInputMessage="1" showErrorMessage="1" prompt="Type in Prior Project Name. " sqref="F29 F33 F37 F41 F45 F49 F53 F57 F61 F65 F69 F73 F77 F81 F85 F89 F93 F97 F101 F105 F109 F113 F117 F121 F125" xr:uid="{00000000-0002-0000-0900-00000D000000}"/>
    <dataValidation allowBlank="1" showInputMessage="1" showErrorMessage="1" prompt="Type in Project MHSOAC Approval Date. " sqref="G29 G33 G37 G41 G45 G49 G53 G57 G61 G65 G69 G73 G77 G81 G85 G89 G93 G97 G101 G105 G109 G113 G117 G121 G125" xr:uid="{00000000-0002-0000-0900-00000E000000}"/>
    <dataValidation allowBlank="1" showInputMessage="1" showErrorMessage="1" prompt="Type in Project Start Date. " sqref="H29 H33 H37 H41 H45 H49 H53 H57 H61 H65 H69 H73 H77 H81 H85 H89 H93 H97 H101 H105 H109 H113 H117 H121 H125" xr:uid="{00000000-0002-0000-0900-00000F000000}"/>
    <dataValidation allowBlank="1" showInputMessage="1" showErrorMessage="1" prompt="Type in MHSOAC-Authorized MHSA INN Project Budget." sqref="I29 I33 I37 I41 I45 I49 I53 I57 I61 I65 I69 I73 I77 I81 I85 I89 I93 I97 I101 I105 I109 I113 I117 I121 I125" xr:uid="{00000000-0002-0000-0900-000010000000}"/>
    <dataValidation allowBlank="1" showInputMessage="1" showErrorMessage="1" prompt="Type in Amended MHSOAC-Authorized MHSA INN Project Budget. " sqref="J29 J33 J37 J41 J45 J49 J53 J57 J61 J65 J69 J73 J77 J81 J85 J89 J93 J97 J101 J105 J109 J113 J117 J121 J125" xr:uid="{00000000-0002-0000-0900-000011000000}"/>
    <dataValidation allowBlank="1" showInputMessage="1" showErrorMessage="1" prompt="Type in Total MHSA Funds used for Project Administration." sqref="L29" xr:uid="{00000000-0002-0000-0900-000012000000}"/>
    <dataValidation allowBlank="1" showInputMessage="1" showErrorMessage="1" prompt="Type in Total Medi-Cal FFP used for Project Administration. " sqref="N29" xr:uid="{00000000-0002-0000-0900-000013000000}"/>
    <dataValidation allowBlank="1" showInputMessage="1" showErrorMessage="1" prompt="Type in Total 1991 Realignment funds used for Project Administration. " sqref="O29" xr:uid="{00000000-0002-0000-0900-000014000000}"/>
    <dataValidation allowBlank="1" showInputMessage="1" showErrorMessage="1" prompt="Type in Other funds used for Project Administration. " sqref="Q29" xr:uid="{00000000-0002-0000-0900-000016000000}"/>
    <dataValidation allowBlank="1" showInputMessage="1" showErrorMessage="1" prompt="Type in Total MHSA Funds used for Project Evaluation." sqref="L30" xr:uid="{00000000-0002-0000-0900-000017000000}"/>
    <dataValidation allowBlank="1" showInputMessage="1" showErrorMessage="1" prompt="Type in Total Medi-Cal FFP used for Project Evaluation." sqref="N30" xr:uid="{00000000-0002-0000-0900-000018000000}"/>
    <dataValidation allowBlank="1" showInputMessage="1" showErrorMessage="1" prompt="Type in Total 1991 Realignment funds used for Project Evaluation." sqref="O30" xr:uid="{00000000-0002-0000-0900-000019000000}"/>
    <dataValidation allowBlank="1" showInputMessage="1" showErrorMessage="1" prompt="Type in Other funds used for Project Evaluation." sqref="Q30" xr:uid="{00000000-0002-0000-0900-00001B000000}"/>
    <dataValidation allowBlank="1" showInputMessage="1" showErrorMessage="1" prompt="Type in Total MHSA Funds used for Project Direct." sqref="L31" xr:uid="{00000000-0002-0000-0900-00001C000000}"/>
    <dataValidation allowBlank="1" showInputMessage="1" showErrorMessage="1" prompt="Type in Total Medi-Cal FFP used for Project Direct." sqref="N31" xr:uid="{00000000-0002-0000-0900-00001D000000}"/>
    <dataValidation allowBlank="1" showInputMessage="1" showErrorMessage="1" prompt="Type in Total 1991 Realignment funds used for Project Direct." sqref="O31" xr:uid="{00000000-0002-0000-0900-00001E000000}"/>
    <dataValidation allowBlank="1" showInputMessage="1" showErrorMessage="1" prompt="Type in Other funds used for Project Direct." sqref="Q31" xr:uid="{00000000-0002-0000-0900-000020000000}"/>
    <dataValidation allowBlank="1" showInputMessage="1" showErrorMessage="1" prompt="Type in Behavioral Health Subaccount funds used for Project Administration. " sqref="P29 M29:M31 M33" xr:uid="{00000000-0002-0000-0900-000015000000}"/>
    <dataValidation allowBlank="1" showInputMessage="1" showErrorMessage="1" prompt="Type in Behavioral Health Subaccount funds used for Project Evaluation." sqref="P30" xr:uid="{00000000-0002-0000-0900-00001A000000}"/>
    <dataValidation allowBlank="1" showInputMessage="1" showErrorMessage="1" prompt="Type in Behavioral Health Subaccount funds used for Project Direct." sqref="P31" xr:uid="{00000000-0002-0000-0900-00001F000000}"/>
    <dataValidation allowBlank="1" showInputMessage="1" showErrorMessage="1" prompt="Type in MHSA IGT used for Project Administration." sqref="M29:M31 M33" xr:uid="{44021C88-4761-4F42-A8AC-A5FA7F57C517}"/>
  </dataValidations>
  <pageMargins left="0.25" right="0.25" top="0.75" bottom="0.75" header="0.3" footer="0.3"/>
  <pageSetup paperSize="5" scale="45" fitToWidth="0" fitToHeight="0" orientation="landscape" r:id="rId4"/>
  <headerFooter>
    <oddFooter>&amp;C&amp;"Arial,Regular"&amp;16Page &amp;P of &amp;N</oddFooter>
  </headerFooter>
  <rowBreaks count="3" manualBreakCount="3">
    <brk id="24" min="1" max="15" man="1"/>
    <brk id="52" min="1" max="15" man="1"/>
    <brk id="92" min="1" max="1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p:properties xmlns:p="http://schemas.microsoft.com/office/2006/metadata/properties" xmlns:xsi="http://www.w3.org/2001/XMLSchema-instance" xmlns:pc="http://schemas.microsoft.com/office/infopath/2007/PartnerControls">
  <documentManagement>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Abstract xmlns="69bc34b3-1921-46c7-8c7a-d18363374b4b" xsi:nil="true"/>
    <PublishingContactName xmlns="http://schemas.microsoft.com/sharepoint/v3" xsi:nil="true"/>
    <TAGAge xmlns="69bc34b3-1921-46c7-8c7a-d18363374b4b" xsi:nil="true"/>
    <_dlc_DocId xmlns="69bc34b3-1921-46c7-8c7a-d18363374b4b">DHCSDOC-1797567310-9384</_dlc_DocId>
    <_dlc_DocIdUrl xmlns="69bc34b3-1921-46c7-8c7a-d18363374b4b">
      <Url>http://dhcsgovstaging:88/_layouts/15/DocIdRedir.aspx?ID=DHCSDOC-1797567310-9384</Url>
      <Description>DHCSDOC-1797567310-9384</Description>
    </_dlc_DocIdUrl>
    <TaxCatchAll xmlns="69bc34b3-1921-46c7-8c7a-d18363374b4b">
      <Value>11</Value>
    </TaxCatchAll>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Community Services</TermName>
          <TermId xmlns="http://schemas.microsoft.com/office/infopath/2007/PartnerControls">c23dee46-a4de-4c29-8bbc-79830d9e7d7c</TermId>
        </TermInfo>
      </Terms>
    </o68eaf9243684232b2418c37bbb152dc>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HCS Document" ma:contentTypeID="0x010100EEE380F46F125946A8B4C4C90D9FFCDC005D6794E1005A074DB3CDA58DCE25DF47" ma:contentTypeVersion="36" ma:contentTypeDescription="This is the Custom Document Type for use by DHCS" ma:contentTypeScope="" ma:versionID="88071f669bdbd21964ceaa518744dffe">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A345AB8-DD51-4998-B282-CB07D860B139}">
  <ds:schemaRefs>
    <ds:schemaRef ds:uri="http://schemas.microsoft.com/sharepoint/events"/>
  </ds:schemaRefs>
</ds:datastoreItem>
</file>

<file path=customXml/itemProps2.xml><?xml version="1.0" encoding="utf-8"?>
<ds:datastoreItem xmlns:ds="http://schemas.openxmlformats.org/officeDocument/2006/customXml" ds:itemID="{04D4A239-58CA-4FB0-89DF-676E3786DBFB}">
  <ds:schemaRefs>
    <ds:schemaRef ds:uri="http://schemas.microsoft.com/sharepoint/v3"/>
    <ds:schemaRef ds:uri="http://purl.org/dc/terms/"/>
    <ds:schemaRef ds:uri="http://purl.org/dc/dcmitype/"/>
    <ds:schemaRef ds:uri="http://schemas.microsoft.com/office/2006/metadata/properties"/>
    <ds:schemaRef ds:uri="http://www.w3.org/XML/1998/namespace"/>
    <ds:schemaRef ds:uri="http://schemas.microsoft.com/office/2006/documentManagement/types"/>
    <ds:schemaRef ds:uri="69bc34b3-1921-46c7-8c7a-d18363374b4b"/>
    <ds:schemaRef ds:uri="c1c1dc04-eeda-4b6e-b2df-40979f5da1d3"/>
    <ds:schemaRef ds:uri="http://schemas.microsoft.com/office/infopath/2007/PartnerControls"/>
    <ds:schemaRef ds:uri="http://schemas.openxmlformats.org/package/2006/metadata/core-properties"/>
    <ds:schemaRef ds:uri="http://purl.org/dc/elements/1.1/"/>
  </ds:schemaRefs>
</ds:datastoreItem>
</file>

<file path=customXml/itemProps3.xml><?xml version="1.0" encoding="utf-8"?>
<ds:datastoreItem xmlns:ds="http://schemas.openxmlformats.org/officeDocument/2006/customXml" ds:itemID="{039DB12F-FACD-4271-89CE-2043E19824EB}">
  <ds:schemaRefs>
    <ds:schemaRef ds:uri="http://schemas.microsoft.com/sharepoint/v3/contenttype/forms"/>
  </ds:schemaRefs>
</ds:datastoreItem>
</file>

<file path=customXml/itemProps4.xml><?xml version="1.0" encoding="utf-8"?>
<ds:datastoreItem xmlns:ds="http://schemas.openxmlformats.org/officeDocument/2006/customXml" ds:itemID="{C455ABEA-D8D4-427E-8F87-DFC5DCD896B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23</vt:i4>
      </vt:variant>
      <vt:variant>
        <vt:lpstr>Named Ranges</vt:lpstr>
      </vt:variant>
      <vt:variant>
        <vt:i4>61</vt:i4>
      </vt:variant>
    </vt:vector>
  </HeadingPairs>
  <TitlesOfParts>
    <vt:vector size="84" baseType="lpstr">
      <vt:lpstr>1. Information</vt:lpstr>
      <vt:lpstr>Instructions 1. Information</vt:lpstr>
      <vt:lpstr>2. Component Summary</vt:lpstr>
      <vt:lpstr>Instructions 2. Component Summa</vt:lpstr>
      <vt:lpstr>3. CSS</vt:lpstr>
      <vt:lpstr>Instructions 3. CSS</vt:lpstr>
      <vt:lpstr>4. PEI</vt:lpstr>
      <vt:lpstr>Instructions 4. PEI</vt:lpstr>
      <vt:lpstr>5. INN</vt:lpstr>
      <vt:lpstr>Instructions 5. INN</vt:lpstr>
      <vt:lpstr>6. WET</vt:lpstr>
      <vt:lpstr>Instructions 6. WET</vt:lpstr>
      <vt:lpstr>7. CFTN</vt:lpstr>
      <vt:lpstr>Instructions 7. CFTN</vt:lpstr>
      <vt:lpstr>8. Adjustment (MHSA)</vt:lpstr>
      <vt:lpstr>Instructions 8. Adjust (MHSA)</vt:lpstr>
      <vt:lpstr>9. Adjustment (FFP)</vt:lpstr>
      <vt:lpstr>Instructions 9. Adjust (FFP)</vt:lpstr>
      <vt:lpstr>10. Comments</vt:lpstr>
      <vt:lpstr>Instructions 10. Comments</vt:lpstr>
      <vt:lpstr>Checks</vt:lpstr>
      <vt:lpstr>drop down fields</vt:lpstr>
      <vt:lpstr>E-1 CountyState2017</vt:lpstr>
      <vt:lpstr>Adjustment_MHSA_Component</vt:lpstr>
      <vt:lpstr>Adjustment_MHSA_FY</vt:lpstr>
      <vt:lpstr>Adjustment_Reason</vt:lpstr>
      <vt:lpstr>CFTN_Project_Type</vt:lpstr>
      <vt:lpstr>Cost_Report_Stage</vt:lpstr>
      <vt:lpstr>County</vt:lpstr>
      <vt:lpstr>County_Population</vt:lpstr>
      <vt:lpstr>CSS_Service_Category</vt:lpstr>
      <vt:lpstr>FFP_Adjustment_FY</vt:lpstr>
      <vt:lpstr>Info_County_Code</vt:lpstr>
      <vt:lpstr>Info_Population</vt:lpstr>
      <vt:lpstr>INN_Expenditure_Type</vt:lpstr>
      <vt:lpstr>PEI_Combined_Standalone</vt:lpstr>
      <vt:lpstr>PEI_Program_Type</vt:lpstr>
      <vt:lpstr>'1. Information'!Print_Area</vt:lpstr>
      <vt:lpstr>'10. Comments'!Print_Area</vt:lpstr>
      <vt:lpstr>'2. Component Summary'!Print_Area</vt:lpstr>
      <vt:lpstr>'3. CSS'!Print_Area</vt:lpstr>
      <vt:lpstr>'4. PEI'!Print_Area</vt:lpstr>
      <vt:lpstr>'5. INN'!Print_Area</vt:lpstr>
      <vt:lpstr>'6. WET'!Print_Area</vt:lpstr>
      <vt:lpstr>'7. CFTN'!Print_Area</vt:lpstr>
      <vt:lpstr>'8. Adjustment (MHSA)'!Print_Area</vt:lpstr>
      <vt:lpstr>'9. Adjustment (FFP)'!Print_Area</vt:lpstr>
      <vt:lpstr>'drop down fields'!Print_Area</vt:lpstr>
      <vt:lpstr>'E-1 CountyState2017'!Print_Area</vt:lpstr>
      <vt:lpstr>'1. Information'!Print_Titles</vt:lpstr>
      <vt:lpstr>'10. Comments'!Print_Titles</vt:lpstr>
      <vt:lpstr>'2. Component Summary'!Print_Titles</vt:lpstr>
      <vt:lpstr>'3. CSS'!Print_Titles</vt:lpstr>
      <vt:lpstr>'4. PEI'!Print_Titles</vt:lpstr>
      <vt:lpstr>'5. INN'!Print_Titles</vt:lpstr>
      <vt:lpstr>'6. WET'!Print_Titles</vt:lpstr>
      <vt:lpstr>'7. CFTN'!Print_Titles</vt:lpstr>
      <vt:lpstr>'8. Adjustment (MHSA)'!Print_Titles</vt:lpstr>
      <vt:lpstr>'9. Adjustment (FFP)'!Print_Titles</vt:lpstr>
      <vt:lpstr>SCO_Distribution</vt:lpstr>
      <vt:lpstr>TitleRegion1.b12.e52.20</vt:lpstr>
      <vt:lpstr>TitleRegion1.b12.i15.3</vt:lpstr>
      <vt:lpstr>TitleRegion1.b13.h44.16</vt:lpstr>
      <vt:lpstr>TitleRegion1.b13.i54.18</vt:lpstr>
      <vt:lpstr>TitleRegion1.b13.k21.11</vt:lpstr>
      <vt:lpstr>TitleRegion1.b13.k21.14</vt:lpstr>
      <vt:lpstr>TitleRegion1.b13.k22.7</vt:lpstr>
      <vt:lpstr>TitleRegion1.b13.k23.9</vt:lpstr>
      <vt:lpstr>TitleRegion1.b13.k27.5</vt:lpstr>
      <vt:lpstr>TitleRegion1.b15.k21.11</vt:lpstr>
      <vt:lpstr>TitleRegion1.b15.k21.14</vt:lpstr>
      <vt:lpstr>TitleRegion1.b15.k23.9</vt:lpstr>
      <vt:lpstr>TitleRegion2.b17.f23.3</vt:lpstr>
      <vt:lpstr>TitleRegion2.b25.l46.14</vt:lpstr>
      <vt:lpstr>TitleRegion2.b26.f28.7</vt:lpstr>
      <vt:lpstr>TitleRegion2.b26.j32.11</vt:lpstr>
      <vt:lpstr>TitleRegion2.b27.q128.9</vt:lpstr>
      <vt:lpstr>TitleRegion2.b32.l133.5</vt:lpstr>
      <vt:lpstr>TitleRegion2.b49.g80.16</vt:lpstr>
      <vt:lpstr>TitleRegion3.b25.i27.3</vt:lpstr>
      <vt:lpstr>TitleRegion3.b32.q133.7</vt:lpstr>
      <vt:lpstr>TitleRegion4.b29.i36.3</vt:lpstr>
      <vt:lpstr>TitleRegion5.b38.d46.3</vt:lpstr>
      <vt:lpstr>WET_Funding_Category</vt:lpstr>
    </vt:vector>
  </TitlesOfParts>
  <Company>DHCS &amp; CDPH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Marin-FY-23-24-RER</dc:title>
  <dc:creator>Donna Ures</dc:creator>
  <cp:keywords/>
  <cp:lastModifiedBy>Bell, Emily@DHCS</cp:lastModifiedBy>
  <cp:lastPrinted>2019-01-14T22:40:46Z</cp:lastPrinted>
  <dcterms:created xsi:type="dcterms:W3CDTF">2017-07-05T19:48:18Z</dcterms:created>
  <dcterms:modified xsi:type="dcterms:W3CDTF">2025-02-27T23:30:53Z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0x010100EEE380F46F125946A8B4C4C90D9FFCDC005D6794E1005A074DB3CDA58DCE25DF47</vt:lpwstr>
  </property>
  <property fmtid="{D5CDD505-2E9C-101B-9397-08002B2CF9AE}" pid="3" name="_dlc_DocIdItemGuid">
    <vt:lpwstr>ff85b932-4d4f-4b7c-bfcf-4f7ac8fc1c1b</vt:lpwstr>
  </property>
  <property fmtid="{D5CDD505-2E9C-101B-9397-08002B2CF9AE}" pid="4" name="Remediated">
    <vt:bool>false</vt:bool>
  </property>
  <property fmtid="{D5CDD505-2E9C-101B-9397-08002B2CF9AE}" pid="5" name="Division">
    <vt:lpwstr>11;#Community Services|c23dee46-a4de-4c29-8bbc-79830d9e7d7c</vt:lpwstr>
  </property>
  <property fmtid="{D5CDD505-2E9C-101B-9397-08002B2CF9AE}" pid="6" name="Organization">
    <vt:lpwstr>103</vt:lpwstr>
  </property>
</Properties>
</file>