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G:\FY 2021-2022\MHSA\MHSA_Sherry\FY 21-22 RER Orig\FY 21-22 RER for submission\FY 2122 RER submission on 2.1.23_revised per DHCS\"/>
    </mc:Choice>
  </mc:AlternateContent>
  <xr:revisionPtr revIDLastSave="0" documentId="13_ncr:1_{475019B3-0A3D-4818-BB03-DC335F9321F7}" xr6:coauthVersionLast="47" xr6:coauthVersionMax="47" xr10:uidLastSave="{00000000-0000-0000-0000-000000000000}"/>
  <bookViews>
    <workbookView xWindow="-120" yWindow="-120" windowWidth="29040" windowHeight="15840" tabRatio="584" firstSheet="3"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0" l="1"/>
  <c r="J17" i="5" l="1"/>
  <c r="F16" i="6" l="1"/>
  <c r="F17" i="7"/>
  <c r="F17" i="8"/>
  <c r="P39" i="5"/>
  <c r="F17" i="5"/>
  <c r="F17" i="4"/>
  <c r="G39" i="4"/>
  <c r="G38" i="4"/>
  <c r="G37" i="4"/>
  <c r="G36" i="4"/>
  <c r="G35" i="4"/>
  <c r="G34" i="4"/>
  <c r="L39" i="5" l="1"/>
  <c r="G45" i="4" l="1"/>
  <c r="H41" i="4"/>
  <c r="L35" i="6"/>
  <c r="L38" i="6" l="1"/>
  <c r="L34" i="6"/>
  <c r="L41" i="5" l="1"/>
  <c r="E30" i="7"/>
  <c r="E29" i="7"/>
  <c r="E28" i="7"/>
  <c r="L43" i="5"/>
  <c r="L42" i="5"/>
  <c r="L40" i="5"/>
  <c r="L38" i="5"/>
  <c r="L37" i="5"/>
  <c r="L36" i="5"/>
  <c r="L35" i="5"/>
  <c r="L34" i="5"/>
  <c r="F16" i="4"/>
  <c r="F15" i="4"/>
  <c r="J15" i="4"/>
  <c r="J17" i="4"/>
  <c r="G47" i="4"/>
  <c r="G46" i="4"/>
  <c r="G44" i="4"/>
  <c r="G43" i="4"/>
  <c r="G42" i="4"/>
  <c r="G41" i="4"/>
  <c r="G40" i="4"/>
  <c r="F19" i="5" l="1"/>
  <c r="G29" i="9" l="1"/>
  <c r="G27" i="9"/>
  <c r="L31"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tc={177F7F0D-4C2D-4086-ACC7-3962853D1BBE}</author>
    <author>tc={2973E39F-710E-4782-967D-626A4FA95ED4}</author>
    <author>tc={F00BB353-A78F-48ED-B326-D970B8DA15AE}</author>
  </authors>
  <commentList>
    <comment ref="L33" authorId="0" shapeId="0" xr:uid="{177F7F0D-4C2D-4086-ACC7-3962853D1BBE}">
      <text>
        <t>[Threaded comment]
Your version of Excel allows you to read this threaded comment; however, any edits to it will get removed if the file is opened in a newer version of Excel. Learn more: https://go.microsoft.com/fwlink/?linkid=870924
Comment:
    Splitting this between the three project's Project Administration lines</t>
      </text>
    </comment>
    <comment ref="L34" authorId="1" shapeId="0" xr:uid="{2973E39F-710E-4782-967D-626A4FA95ED4}">
      <text>
        <t>[Threaded comment]
Your version of Excel allows you to read this threaded comment; however, any edits to it will get removed if the file is opened in a newer version of Excel. Learn more: https://go.microsoft.com/fwlink/?linkid=870924
Comment:
    $12,062.77 for FY21/22 Impact Justice (Contract # 32300244)</t>
      </text>
    </comment>
    <comment ref="L38" authorId="2" shapeId="0" xr:uid="{F00BB353-A78F-48ED-B326-D970B8DA15AE}">
      <text>
        <t>[Threaded comment]
Your version of Excel allows you to read this threaded comment; however, any edits to it will get removed if the file is opened in a newer version of Excel. Learn more: https://go.microsoft.com/fwlink/?linkid=870924
Comment:
    Raimi &amp; Associates  - $5,134.55 32201319</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<sst xmlns="http://schemas.openxmlformats.org/spreadsheetml/2006/main" count="1597" uniqueCount="848">
  <si>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</si>
  <si>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</si>
  <si>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</si>
  <si>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</si>
  <si>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</si>
  <si>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</si>
  <si>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</si>
  <si>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</si>
  <si>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</si>
  <si>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</si>
  <si>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</si>
  <si>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</si>
  <si>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</si>
  <si>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</si>
  <si>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</si>
  <si>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</si>
  <si>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</si>
  <si>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</si>
  <si>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</si>
  <si>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</si>
  <si>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</si>
  <si>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</si>
  <si>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</si>
  <si>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</si>
  <si>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</si>
  <si>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</si>
  <si>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</si>
  <si>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</si>
  <si>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</si>
  <si>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</si>
  <si>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</si>
  <si>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</si>
  <si>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</si>
  <si>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</si>
  <si>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</si>
  <si>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</si>
  <si>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</si>
  <si>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</si>
  <si>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</si>
  <si>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</si>
  <si>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</si>
  <si>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</si>
  <si>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</si>
  <si>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</si>
  <si>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</si>
  <si>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</si>
  <si>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</si>
  <si>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</si>
  <si>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</si>
  <si>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</si>
  <si>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</si>
  <si>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</si>
  <si>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</si>
  <si>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</si>
  <si>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</si>
  <si>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</si>
  <si>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</si>
  <si>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</si>
  <si>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</si>
  <si>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</si>
  <si>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</si>
  <si>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</si>
  <si>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</si>
  <si>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</si>
  <si>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</si>
  <si>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</si>
  <si>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</si>
  <si>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</si>
  <si>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</si>
  <si>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</si>
  <si>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</si>
  <si>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</si>
  <si>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</si>
  <si>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</si>
  <si>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</si>
  <si>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</si>
  <si>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</si>
  <si>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</si>
  <si>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</si>
  <si>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</si>
  <si>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</si>
  <si>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</si>
  <si>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</si>
  <si>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</si>
  <si>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</si>
  <si>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</si>
  <si>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</si>
  <si>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</si>
  <si>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</si>
  <si>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</si>
  <si>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</si>
  <si>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</si>
  <si>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</si>
  <si>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</si>
  <si>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</si>
  <si>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</si>
  <si>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</si>
  <si>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</si>
  <si>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</si>
  <si>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</si>
  <si>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</si>
  <si>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</si>
  <si>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</si>
  <si>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</si>
  <si>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</si>
  <si>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</si>
  <si>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</si>
  <si>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</si>
  <si>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</si>
  <si>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</si>
  <si>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</si>
  <si>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</si>
  <si>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</si>
  <si>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</si>
  <si>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</si>
  <si>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</si>
  <si>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</si>
  <si>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</si>
  <si>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</si>
  <si>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</si>
  <si>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</si>
  <si>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</si>
  <si>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</si>
  <si>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</si>
  <si>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</si>
  <si>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</si>
  <si>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</si>
  <si>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</si>
  <si>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</si>
  <si>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</si>
  <si>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</si>
  <si>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</si>
  <si>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</si>
  <si>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</si>
  <si>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</si>
  <si>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</si>
  <si>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</si>
  <si>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</si>
  <si>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</si>
  <si>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</si>
  <si>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</si>
  <si>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</si>
  <si>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</si>
  <si>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</si>
  <si>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</si>
  <si>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</si>
  <si>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</si>
  <si>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</si>
  <si>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</si>
  <si>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</si>
  <si>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</si>
  <si>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</si>
  <si>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</si>
  <si>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</si>
  <si>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</si>
  <si>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</si>
  <si>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</si>
  <si>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</si>
  <si>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</si>
  <si>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</si>
  <si>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</si>
  <si>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</si>
  <si>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</si>
  <si>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</si>
  <si>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</si>
  <si>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</si>
  <si>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</si>
  <si>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</si>
  <si>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</si>
  <si>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</si>
  <si>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</si>
  <si>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</si>
  <si>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</si>
  <si>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</si>
  <si>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</si>
  <si>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</si>
  <si>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</si>
  <si>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</si>
  <si>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</si>
  <si>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</si>
  <si>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</si>
  <si>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</si>
  <si>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</si>
  <si>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</si>
  <si>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</si>
  <si>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</si>
  <si>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</si>
  <si>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</si>
  <si>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</si>
  <si>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</si>
  <si>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</si>
  <si>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</si>
  <si>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</si>
  <si>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</si>
  <si>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</si>
  <si>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</si>
  <si>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</si>
  <si>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</si>
  <si>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</si>
  <si>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</si>
  <si>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</si>
  <si>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</si>
  <si>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</si>
  <si>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</si>
  <si>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</si>
  <si>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</si>
  <si>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</si>
  <si>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</si>
  <si>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</si>
  <si>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</si>
  <si>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</si>
  <si>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</si>
  <si>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</si>
  <si>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</si>
  <si>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</si>
  <si>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</si>
  <si>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</si>
  <si>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</si>
  <si>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</si>
  <si>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</si>
  <si>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</si>
  <si>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</si>
  <si>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</si>
  <si>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</si>
  <si>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</si>
  <si>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</si>
  <si>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</si>
  <si>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</si>
  <si>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</si>
  <si>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</si>
  <si>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</si>
  <si>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</si>
  <si>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</si>
  <si>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</si>
  <si>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</si>
  <si>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</si>
  <si>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</si>
  <si>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</si>
  <si>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</si>
  <si>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</si>
  <si>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</si>
  <si>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</si>
  <si>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</si>
  <si>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</si>
  <si>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</si>
  <si>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</si>
  <si>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</si>
  <si>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</si>
  <si>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</si>
  <si>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</si>
  <si>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</si>
  <si>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</si>
  <si>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</si>
  <si>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</si>
  <si>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</si>
  <si>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</si>
  <si>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</si>
  <si>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</si>
  <si>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</si>
  <si>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</si>
  <si>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</si>
  <si>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</si>
  <si>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</si>
  <si>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</si>
  <si>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</si>
  <si>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</si>
  <si>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</si>
  <si>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</si>
  <si>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</si>
  <si>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</si>
  <si>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</si>
  <si>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</si>
  <si>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</si>
  <si>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</si>
  <si>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</si>
  <si>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</si>
  <si>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</si>
  <si>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</si>
  <si>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</si>
  <si>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</si>
  <si>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</si>
  <si>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</si>
  <si>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</si>
  <si>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</si>
  <si>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</si>
  <si>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</si>
  <si>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</si>
  <si>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</si>
  <si>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</si>
  <si>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</si>
  <si>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</si>
  <si>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</si>
  <si>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</si>
  <si>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</si>
  <si>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</si>
  <si>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</si>
  <si>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</si>
  <si>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</si>
  <si>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</si>
  <si>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</si>
  <si>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</si>
  <si>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</si>
  <si>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</si>
  <si>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</si>
  <si>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</si>
  <si>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</si>
  <si>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</si>
  <si>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</si>
  <si>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</si>
  <si>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</si>
  <si>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</si>
  <si>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</si>
  <si>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</si>
  <si>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</si>
  <si>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</si>
  <si>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</si>
  <si>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</si>
  <si>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</si>
  <si>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</si>
  <si>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</si>
  <si>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</si>
  <si>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</si>
  <si>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</si>
  <si>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</si>
  <si>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</si>
  <si>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</si>
  <si>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</si>
  <si>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</si>
  <si>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</si>
  <si>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</si>
  <si>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</si>
  <si>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</si>
  <si>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</si>
  <si>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</si>
  <si>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</si>
  <si>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</si>
  <si>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</si>
  <si>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</si>
  <si>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</si>
  <si>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</si>
  <si>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</si>
  <si>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</si>
  <si>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</si>
  <si>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</si>
  <si>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</si>
  <si>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</si>
  <si>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</si>
  <si>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</si>
  <si>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</si>
  <si>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</si>
  <si>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</si>
  <si>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</si>
  <si>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</si>
  <si>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</si>
  <si>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</si>
  <si>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</si>
  <si>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</si>
  <si>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</si>
  <si>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</si>
  <si>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</si>
  <si>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</si>
  <si>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</si>
  <si>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</si>
  <si>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</si>
  <si>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</si>
  <si>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</si>
  <si>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</si>
  <si>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</si>
  <si>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</si>
  <si>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</si>
  <si>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</si>
  <si>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</si>
  <si>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</si>
  <si>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</si>
  <si>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</si>
  <si>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</si>
  <si>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</si>
  <si>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</si>
  <si>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</si>
  <si>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</si>
  <si>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</si>
  <si>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</si>
  <si>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</si>
  <si>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</si>
  <si>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</si>
  <si>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</si>
  <si>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</si>
  <si>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</si>
  <si>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</si>
  <si>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</si>
  <si>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</si>
  <si>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</si>
  <si>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</si>
  <si>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</si>
  <si>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</si>
  <si>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</si>
  <si>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</si>
  <si>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</si>
  <si>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</si>
  <si>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</si>
  <si>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</si>
  <si>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</si>
  <si>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</si>
  <si>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</si>
  <si>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</si>
  <si>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</si>
  <si>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</si>
  <si>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</si>
  <si>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</si>
  <si>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</si>
  <si>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</si>
  <si>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</si>
  <si>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</si>
  <si>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</si>
  <si>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</si>
  <si>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</si>
  <si>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</si>
  <si>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</si>
  <si>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</si>
  <si>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</si>
  <si>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</si>
  <si>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</si>
  <si>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</si>
  <si>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</si>
  <si>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</si>
  <si>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</si>
  <si>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</si>
  <si>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</si>
  <si>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</si>
  <si>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</si>
  <si>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</si>
  <si>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</si>
  <si>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</si>
  <si>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</si>
  <si>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</si>
  <si>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</si>
  <si>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</si>
  <si>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</si>
  <si>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</si>
  <si>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</si>
  <si>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</si>
  <si>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</si>
  <si>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</si>
  <si>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</si>
  <si>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</si>
  <si>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</si>
  <si>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</si>
  <si>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</si>
  <si>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</si>
  <si>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</si>
  <si>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</si>
  <si>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</si>
  <si>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</si>
  <si>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</si>
  <si>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</si>
  <si>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</si>
  <si>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</si>
  <si>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</si>
  <si>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</si>
  <si>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</si>
  <si>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</si>
  <si>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</si>
  <si>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</si>
  <si>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</si>
  <si>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</si>
  <si>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</si>
  <si>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</si>
  <si>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</si>
  <si>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</si>
  <si>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</si>
  <si>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</si>
  <si>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</si>
  <si>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</si>
  <si>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</si>
  <si>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</si>
  <si>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</si>
  <si>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</si>
  <si>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</si>
  <si>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</si>
  <si>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</si>
  <si>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</si>
  <si>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</si>
  <si>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</si>
  <si>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</si>
  <si>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</si>
  <si>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</si>
  <si>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</si>
  <si>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</si>
  <si>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</si>
  <si>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</si>
  <si>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</si>
  <si>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</si>
  <si>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</si>
  <si>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</si>
  <si>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</si>
  <si>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</si>
  <si>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</si>
  <si>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</si>
  <si>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</si>
  <si>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</si>
  <si>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</si>
  <si>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</si>
  <si>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</si>
  <si>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</si>
  <si>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</si>
  <si>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</si>
  <si>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</si>
  <si>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</si>
  <si>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</si>
  <si>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</si>
  <si>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</si>
  <si>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</si>
  <si>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</si>
  <si>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</si>
  <si>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</si>
  <si>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</si>
  <si>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</si>
  <si>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</si>
  <si>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</si>
  <si>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</si>
  <si>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</si>
  <si>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</si>
  <si>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</si>
  <si>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</si>
  <si>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</si>
  <si>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</si>
  <si>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</si>
  <si>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</si>
  <si>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</si>
  <si>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</si>
  <si>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</si>
  <si>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</si>
  <si>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</si>
  <si>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</si>
  <si>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</si>
  <si>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</si>
  <si>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</si>
  <si>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</si>
  <si>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</si>
  <si>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</si>
  <si>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</si>
  <si>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</si>
  <si>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</si>
  <si>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</si>
  <si>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</si>
  <si>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</si>
  <si>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</si>
  <si>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</si>
  <si>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</si>
  <si>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</si>
  <si>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</si>
  <si>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</si>
  <si>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</si>
  <si>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</si>
  <si>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</si>
  <si>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</si>
  <si>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</si>
  <si>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</si>
  <si>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</si>
  <si>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</si>
  <si>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</si>
  <si>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</si>
  <si>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</si>
  <si>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</si>
  <si>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</si>
  <si>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</si>
  <si>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</si>
  <si>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</si>
  <si>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</si>
  <si>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</si>
  <si>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</si>
  <si>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</si>
  <si>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</si>
  <si>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</si>
  <si>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</si>
  <si>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</si>
  <si>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</si>
  <si>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</si>
  <si>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</si>
  <si>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</si>
  <si>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</si>
  <si>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</si>
  <si>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</si>
  <si>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</si>
  <si>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</si>
  <si>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</si>
  <si>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</si>
  <si>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</si>
  <si>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</si>
  <si>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</si>
  <si>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</si>
  <si>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</si>
  <si>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</si>
  <si>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</si>
  <si>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</si>
  <si>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</si>
  <si>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</si>
  <si>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</si>
  <si>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</si>
  <si>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</si>
  <si>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</si>
  <si>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</si>
  <si>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</si>
  <si>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</si>
  <si>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</si>
  <si>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</si>
  <si>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</si>
  <si>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</si>
  <si>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</si>
  <si>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</si>
  <si>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</si>
  <si>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</si>
  <si>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</si>
  <si>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</si>
  <si>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</si>
  <si>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</si>
  <si>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</si>
  <si>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</si>
  <si>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</si>
  <si>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</si>
  <si>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</si>
  <si>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</si>
  <si>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</si>
  <si>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</si>
  <si>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</si>
  <si>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</si>
  <si>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</si>
  <si>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</si>
  <si>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</si>
  <si>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</si>
  <si>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</si>
  <si>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</si>
  <si>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</si>
  <si>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</si>
  <si>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</si>
  <si>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</si>
  <si>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</si>
  <si>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</si>
  <si>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</si>
  <si>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</si>
  <si>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</si>
  <si>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</si>
  <si>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</si>
  <si>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</si>
  <si>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</si>
  <si>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</si>
  <si>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</si>
  <si>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</si>
  <si>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</si>
  <si>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</si>
  <si>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</si>
  <si>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</si>
  <si>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</si>
  <si>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</si>
  <si>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</si>
  <si>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</si>
  <si>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</si>
  <si>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</si>
  <si>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</si>
  <si>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</si>
  <si>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</si>
  <si>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</si>
  <si>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</si>
  <si>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</si>
  <si>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</si>
  <si>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</si>
  <si>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</si>
  <si>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</si>
  <si>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</si>
  <si>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</si>
  <si>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</si>
  <si>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</si>
  <si>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</si>
  <si>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</si>
  <si>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</si>
  <si>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</si>
  <si>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</si>
  <si>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</si>
  <si>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</si>
  <si>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</si>
  <si>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</si>
  <si>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</si>
  <si>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</si>
  <si>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</si>
  <si>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</si>
  <si>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</si>
  <si>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</si>
  <si>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</si>
  <si>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</si>
  <si>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</si>
  <si>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</si>
  <si>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</si>
  <si>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</si>
  <si>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</si>
  <si>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</si>
  <si>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</si>
  <si>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</si>
  <si>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</si>
  <si>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</si>
  <si>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</si>
  <si>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</si>
  <si>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</si>
  <si>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</si>
  <si>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</si>
  <si>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</si>
  <si>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</si>
  <si>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</si>
  <si>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</si>
  <si>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</si>
  <si>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</si>
  <si>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</si>
  <si>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</si>
  <si>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</si>
  <si>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</si>
  <si>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</si>
  <si>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</si>
  <si>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</si>
  <si>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</si>
  <si>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</si>
  <si>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</si>
  <si>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</si>
  <si>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</si>
  <si>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</si>
  <si>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</si>
  <si>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</si>
  <si>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</si>
  <si>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</si>
  <si>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</si>
  <si>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</si>
  <si>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</si>
  <si>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</si>
  <si>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</si>
  <si>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</si>
  <si>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</si>
  <si>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</si>
  <si>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</si>
  <si>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</si>
  <si>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</si>
  <si>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</si>
  <si>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</si>
  <si>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</si>
  <si>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</si>
  <si>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</si>
  <si>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</si>
  <si>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</si>
  <si>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</si>
  <si>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</si>
  <si>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</si>
  <si>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</si>
  <si>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</si>
  <si>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</si>
  <si>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</si>
  <si>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</si>
  <si>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</si>
  <si>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</si>
  <si>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</si>
  <si>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</si>
  <si>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</si>
  <si>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</si>
  <si>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</si>
  <si>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</si>
  <si>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</si>
  <si>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</si>
  <si>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</si>
  <si>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</si>
  <si>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</si>
  <si>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</si>
  <si>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</si>
  <si>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</si>
  <si>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</si>
  <si>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</si>
  <si>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</si>
  <si>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</si>
  <si>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</si>
  <si>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</si>
  <si>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</si>
  <si>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</si>
  <si>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</si>
  <si>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</si>
  <si>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</si>
  <si>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</si>
  <si>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</si>
  <si>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</si>
  <si>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20 North San Pedro Road</t>
  </si>
  <si>
    <t>San Rafael</t>
  </si>
  <si>
    <t>Shahrzad Momenzadeh</t>
  </si>
  <si>
    <t>Accountant II</t>
  </si>
  <si>
    <t>smomenzadeh@marincounty.org</t>
  </si>
  <si>
    <t>(415) 473 - 6935</t>
  </si>
  <si>
    <t>Electronic Health Record and Practice Mgmnt System Enhancement</t>
  </si>
  <si>
    <t>Coordinated Case Management System</t>
  </si>
  <si>
    <t>Telehealth Expansion</t>
  </si>
  <si>
    <t>Website Enhancement</t>
  </si>
  <si>
    <t>Technology Suite Collaborative(Older Adult Focused Project)</t>
  </si>
  <si>
    <t>From Housing To Healing, Entry Community for Women</t>
  </si>
  <si>
    <t>Student Wellness Ambassador Program (SWAP)</t>
  </si>
  <si>
    <t>Technology Suite Collaborative</t>
  </si>
  <si>
    <t>PEI-01 Early Childhood MH Consultation</t>
  </si>
  <si>
    <t>PEI-04 Transition Age Youth (TAY)</t>
  </si>
  <si>
    <t>PEI-07 Older Adult Prevention and Early Intervension</t>
  </si>
  <si>
    <t>PEI-05 Latino Community Connection</t>
  </si>
  <si>
    <t>PEI-12 Community &amp; Provider PEI Training</t>
  </si>
  <si>
    <t>PEI-18 School Age Prevention &amp; Early Interv. Programs</t>
  </si>
  <si>
    <t>PEI-19 Veterans Community Connection</t>
  </si>
  <si>
    <t>PEI-21 Suicide Prevention Planning/Implementation</t>
  </si>
  <si>
    <t>PEI-23 Newcomers Supports</t>
  </si>
  <si>
    <t>PEI-24 Storytelling Programs</t>
  </si>
  <si>
    <t>Expenditure</t>
  </si>
  <si>
    <t>FY 20-21</t>
  </si>
  <si>
    <t>FY 19-20</t>
  </si>
  <si>
    <t>FY  20-21</t>
  </si>
  <si>
    <t>CSS- SDOE-16 HMIOT Grant revenues covers 45,011.55 of costs- was not recorded</t>
  </si>
  <si>
    <t xml:space="preserve">CSS-YES program received PHC funds as accrual revenues to cover eating disorder  prog. Costs </t>
  </si>
  <si>
    <t>PEI Admin_CalCard costs reversed</t>
  </si>
  <si>
    <t xml:space="preserve">CSS STAR Staples Office expense charge reversed </t>
  </si>
  <si>
    <t>CSS-Odyssey Payment to Sutter Health reversed (received refund) for eating  disorder</t>
  </si>
  <si>
    <t>CSS  Community Planning CalCard Reclsd</t>
  </si>
  <si>
    <t>PEI Accruals pd to Spahr Center-Co 32000936</t>
  </si>
  <si>
    <t>PEI Accruals pd to Huckleberry Co 32100330</t>
  </si>
  <si>
    <t>PEI Accruals pd to Seneca CO 32100336</t>
  </si>
  <si>
    <t>PEI Accruals pd to BACR CO 32100291</t>
  </si>
  <si>
    <t>PEI Accruals pd to BACR CO 32100323</t>
  </si>
  <si>
    <t>CFTN_Move Indirect costs from CFTN Project Expenditures to CSS Admin/Indirect costs. Bldg Maintenance Costs directly apply to CSS prog.</t>
  </si>
  <si>
    <t>CSS_Move Indirect costs from CFTN Project Expenditures to CSS Admin/Indirect costs. Bldg Maintenance Costs directly apply to CSS prog.</t>
  </si>
  <si>
    <t>Refund received from LE 00453 - Housing Authority of Marin -MHSA - Odyssey program-moced to Homeless Support- cost settlement</t>
  </si>
  <si>
    <t>CSS C.C. of Care-SDOE-09- PC 10230238 IntrFund expense paid</t>
  </si>
  <si>
    <t>Adjustment to Admin Cost Allocation</t>
  </si>
  <si>
    <t>FSP 01 - Youth Empowerment Services (YES)</t>
  </si>
  <si>
    <t>FSP 02 - Transitional Age Youth (TAY)</t>
  </si>
  <si>
    <t>FSP 03 - Support and Treatment After Release (STAR)</t>
  </si>
  <si>
    <t>FSP 04 - Helping Older People Excel (HOPE)</t>
  </si>
  <si>
    <t xml:space="preserve">FSP 05 - Odyssey Programs </t>
  </si>
  <si>
    <t>FSP 06 - Integrated Multi-Service Partnership Assertive Community Treatment (IMPACT)</t>
  </si>
  <si>
    <t>SDOE 01 - Enterprise Resource Center (ERC)</t>
  </si>
  <si>
    <t>SDOE 09 - Crisis Continuum of Care</t>
  </si>
  <si>
    <t>SDOE 10 - First Episode Psychosis</t>
  </si>
  <si>
    <t>SDOE 11 - Consumer Operated Wellness Center (Empowerment Club House)</t>
  </si>
  <si>
    <t>SDOE 13 - Recovery Oriented System Development</t>
  </si>
  <si>
    <t>SDOE 14 - Stepping Up</t>
  </si>
  <si>
    <t>SDOE 15 - Community Outreach and Engagement</t>
  </si>
  <si>
    <t>SDOE 16 - Homeless Support and Outreach</t>
  </si>
  <si>
    <t>5,150 move from CSS_ Odyssey to CSS_STAR Prog- posted by error on Orig. RER to Odyssey belongs to STAR</t>
  </si>
  <si>
    <t>CSS-Odyssey travel expense reversed</t>
  </si>
  <si>
    <t>CSS Admin expense CalCard reversed</t>
  </si>
  <si>
    <t>CSS Other Revenues move to adj to Costs  for PHC fund to cover eating disorder expense</t>
  </si>
  <si>
    <t xml:space="preserve">CSS Other Revenues move to adj to Costs  for PHC fund to cover eating disorder expense </t>
  </si>
  <si>
    <t>FY 18-19</t>
  </si>
  <si>
    <t>Costs moved back from CSS to HP - previously moved from HP to CSS due to lack of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</si>
</sst>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7">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
      <left/>
      <right/>
      <top style="thin">
        <color theme="4" tint="0.39997558519241921"/>
      </top>
      <bottom style="thin">
        <color theme="4" tint="0.39997558519241921"/>
      </bottom>
      <diagonal/>
    </border>
  </borders>
  <cellStyleXfs count="16">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44" fillId="0" borderId="0"/>
  </cellStyleXfs>
  <cellXfs count="43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 fillId="0" borderId="36" xfId="0" applyFont="1" applyBorder="1" applyProtection="1">
      <protection locked="0"/>
    </xf>
    <xf numFmtId="0" fontId="1" fillId="0" borderId="19" xfId="10" applyFont="1" applyBorder="1" applyAlignment="1" applyProtection="1">
      <alignment wrapText="1"/>
      <protection locked="0"/>
    </xf>
    <xf numFmtId="164" fontId="1" fillId="0" borderId="19" xfId="11" applyNumberFormat="1" applyFont="1" applyBorder="1" applyAlignment="1" applyProtection="1">
      <alignment horizontal="center"/>
      <protection locked="0"/>
    </xf>
    <xf numFmtId="0" fontId="1" fillId="0" borderId="19" xfId="11" applyFont="1" applyBorder="1" applyAlignment="1" applyProtection="1">
      <alignment wrapText="1"/>
      <protection locked="0"/>
    </xf>
    <xf numFmtId="164" fontId="23" fillId="0" borderId="19" xfId="10" applyNumberFormat="1" applyFont="1" applyBorder="1" applyProtection="1">
      <protection locked="0"/>
    </xf>
    <xf numFmtId="0" fontId="1" fillId="0" borderId="19" xfId="12" applyFont="1" applyBorder="1" applyAlignment="1" applyProtection="1">
      <alignment wrapText="1"/>
      <protection locked="0"/>
    </xf>
    <xf numFmtId="0" fontId="1" fillId="0" borderId="19" xfId="13" applyFont="1" applyBorder="1" applyAlignment="1" applyProtection="1">
      <alignment wrapText="1"/>
      <protection locked="0"/>
    </xf>
    <xf numFmtId="0" fontId="1" fillId="0" borderId="19" xfId="14" applyFont="1" applyBorder="1" applyAlignment="1" applyProtection="1">
      <alignment wrapText="1"/>
      <protection locked="0"/>
    </xf>
    <xf numFmtId="0" fontId="1" fillId="0" borderId="19" xfId="15" applyFont="1" applyBorder="1" applyAlignment="1" applyProtection="1">
      <alignment wrapText="1"/>
      <protection locked="0"/>
    </xf>
    <xf numFmtId="14" fontId="1" fillId="0" borderId="19" xfId="0" applyNumberFormat="1" applyFont="1" applyBorder="1" applyProtection="1">
      <protection locked="0"/>
    </xf>
    <xf numFmtId="164" fontId="1" fillId="0" borderId="24" xfId="0" applyNumberFormat="1" applyFont="1" applyBorder="1" applyProtection="1">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16">
    <cellStyle name="Currency" xfId="7" builtinId="4"/>
    <cellStyle name="Hyperlink" xfId="4" builtinId="8"/>
    <cellStyle name="Input" xfId="8" builtinId="20"/>
    <cellStyle name="Normal" xfId="0" builtinId="0"/>
    <cellStyle name="Normal 12 3 2 2" xfId="15" xr:uid="{32E731ED-30CD-4DBB-BAFB-FE1EAD23E949}"/>
    <cellStyle name="Normal 15 2" xfId="10" xr:uid="{7ECF625D-754A-4730-8748-AD3A49A779B4}"/>
    <cellStyle name="Normal 15 2 2 2" xfId="14" xr:uid="{2A525621-9626-4A5D-AD7D-279BD1F7BFE0}"/>
    <cellStyle name="Normal 2" xfId="2" xr:uid="{00000000-0005-0000-0000-000004000000}"/>
    <cellStyle name="Normal 2 2" xfId="5" xr:uid="{00000000-0005-0000-0000-000005000000}"/>
    <cellStyle name="Normal 20" xfId="9" xr:uid="{B43B3C31-9CA7-4743-86ED-0AA406DBE05B}"/>
    <cellStyle name="Normal 20 2 2" xfId="13" xr:uid="{D8C8FFE4-0C80-4484-911A-DEE407DF46AC}"/>
    <cellStyle name="Normal 22" xfId="11" xr:uid="{66F46B88-23F5-4F89-B284-D0A02EDB3307}"/>
    <cellStyle name="Normal 22 2" xfId="12" xr:uid="{3F047169-3553-4988-B3F7-675B560ACD6C}"/>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Main, Galen" id="{37697B7E-F3E1-4063-B807-B23D64653975}" userId="S::gmain@marincounty.org::1fb68293-95ba-4bac-b408-6e9642615ba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33" dT="2023-01-03T16:44:00.90" personId="{37697B7E-F3E1-4063-B807-B23D64653975}" id="{177F7F0D-4C2D-4086-ACC7-3962853D1BBE}">
    <text>Splitting this between the three project's Project Administration lines</text>
  </threadedComment>
  <threadedComment ref="L34" dT="2023-01-03T16:43:14.06" personId="{37697B7E-F3E1-4063-B807-B23D64653975}" id="{2973E39F-710E-4782-967D-626A4FA95ED4}">
    <text>$12,062.77 for FY21/22 Impact Justice (Contract # 32300244)</text>
  </threadedComment>
  <threadedComment ref="L38" dT="2023-01-03T16:38:46.59" personId="{37697B7E-F3E1-4063-B807-B23D64653975}" id="{F00BB353-A78F-48ED-B326-D970B8DA15AE}">
    <text>Raimi &amp; Associates  - $5,134.55 32201319</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7" Type="http://schemas.microsoft.com/office/2017/10/relationships/threadedComment" Target="../threadedComments/threadedComment1.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D19" zoomScale="80" zoomScaleNormal="80" zoomScaleSheetLayoutView="40" workbookViewId="0">
      <selection activeCell="L36" sqref="L36:M3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2021-2022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Marin</v>
      </c>
      <c r="G9" s="226" t="s">
        <v>1</v>
      </c>
      <c r="H9" s="264">
        <f>IF(ISBLANK('1. Information'!D9),"",'1. Information'!D9)</f>
        <v>44875</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c r="G15" s="136"/>
      <c r="H15" s="136"/>
      <c r="I15" s="136"/>
      <c r="J15" s="136"/>
      <c r="K15" s="246">
        <f>SUM(F15:J15)</f>
        <v>0</v>
      </c>
      <c r="L15" s="175"/>
      <c r="M15" s="175"/>
      <c r="N15" s="175"/>
      <c r="O15" s="27"/>
      <c r="P15" s="27"/>
    </row>
    <row r="16" spans="1:17" ht="15.75" x14ac:dyDescent="0.25">
      <c r="B16" s="300">
        <v>2</v>
      </c>
      <c r="C16" s="308" t="s">
        <v>143</v>
      </c>
      <c r="D16" s="242"/>
      <c r="E16" s="243"/>
      <c r="F16" s="136">
        <f>63287.47</f>
        <v>63287.47</v>
      </c>
      <c r="G16" s="136"/>
      <c r="H16" s="136"/>
      <c r="I16" s="136"/>
      <c r="J16" s="136"/>
      <c r="K16" s="246">
        <f>SUM(F16:J16)</f>
        <v>63287.47</v>
      </c>
      <c r="L16" s="175"/>
      <c r="M16" s="175"/>
      <c r="N16" s="175"/>
      <c r="O16" s="27"/>
      <c r="P16" s="27"/>
    </row>
    <row r="17" spans="2:17" ht="15.75" x14ac:dyDescent="0.25">
      <c r="B17" s="300">
        <v>3</v>
      </c>
      <c r="C17" s="309" t="s">
        <v>238</v>
      </c>
      <c r="D17" s="245"/>
      <c r="E17" s="243"/>
      <c r="F17" s="136">
        <v>60970.5</v>
      </c>
      <c r="G17" s="310"/>
      <c r="H17" s="310"/>
      <c r="I17" s="310"/>
      <c r="J17" s="310"/>
      <c r="K17" s="246">
        <f>F17</f>
        <v>60970.5</v>
      </c>
      <c r="L17" s="175"/>
      <c r="M17" s="175"/>
      <c r="N17" s="175"/>
      <c r="O17" s="27"/>
      <c r="P17" s="27"/>
    </row>
    <row r="18" spans="2:17" ht="15.75" x14ac:dyDescent="0.25">
      <c r="B18" s="300">
        <v>4</v>
      </c>
      <c r="C18" s="309" t="s">
        <v>293</v>
      </c>
      <c r="D18" s="245"/>
      <c r="E18" s="243"/>
      <c r="F18" s="129">
        <v>55256</v>
      </c>
      <c r="G18" s="310"/>
      <c r="H18" s="310"/>
      <c r="I18" s="310"/>
      <c r="J18" s="310"/>
      <c r="K18" s="246">
        <f>F18</f>
        <v>55256</v>
      </c>
      <c r="L18" s="175"/>
      <c r="M18" s="175"/>
      <c r="N18" s="175"/>
      <c r="O18" s="27"/>
      <c r="P18" s="27"/>
    </row>
    <row r="19" spans="2:17" ht="15.75" x14ac:dyDescent="0.25">
      <c r="B19" s="300">
        <v>5</v>
      </c>
      <c r="C19" s="308" t="s">
        <v>144</v>
      </c>
      <c r="D19" s="242"/>
      <c r="E19" s="243"/>
      <c r="F19" s="311">
        <f>SUMIF($K$29:$K$128,"Project Administration",L$29:L$128)</f>
        <v>38798.78</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38798.78</v>
      </c>
      <c r="L19" s="175"/>
      <c r="M19" s="175"/>
      <c r="N19" s="175"/>
      <c r="O19" s="27"/>
      <c r="P19" s="27"/>
    </row>
    <row r="20" spans="2:17" ht="15.75" x14ac:dyDescent="0.25">
      <c r="B20" s="300">
        <v>6</v>
      </c>
      <c r="C20" s="308" t="s">
        <v>145</v>
      </c>
      <c r="D20" s="242"/>
      <c r="E20" s="243"/>
      <c r="F20" s="310">
        <f>SUMIF($K$29:$K$128,"Project Evaluation",L$29:L$128)</f>
        <v>17197.32</v>
      </c>
      <c r="G20" s="313">
        <f>SUMIF($K$29:$K$128,"Project Evaluation",M$29:M$128)</f>
        <v>0</v>
      </c>
      <c r="H20" s="310">
        <f>SUMIF($K$29:$K$128,"Project Evaluation",N$29:N$128)</f>
        <v>0</v>
      </c>
      <c r="I20" s="310">
        <f>SUMIF($K$29:$K$128,"Project Evaluation",O$29:O$128)</f>
        <v>0</v>
      </c>
      <c r="J20" s="310">
        <f>SUMIF($K$29:$K$128,"Project Evaluation",P$29:P$128)</f>
        <v>0</v>
      </c>
      <c r="K20" s="246">
        <f t="shared" si="0"/>
        <v>17197.32</v>
      </c>
      <c r="L20" s="175"/>
      <c r="M20" s="175"/>
      <c r="N20" s="175"/>
      <c r="O20" s="27"/>
      <c r="P20" s="27"/>
    </row>
    <row r="21" spans="2:17" ht="15.75" x14ac:dyDescent="0.25">
      <c r="B21" s="300">
        <v>7</v>
      </c>
      <c r="C21" s="308" t="s">
        <v>196</v>
      </c>
      <c r="D21" s="242"/>
      <c r="E21" s="243"/>
      <c r="F21" s="310">
        <f>SUMIF($K$29:$K$128,"Project Direct",L$29:L$128)</f>
        <v>320923.33</v>
      </c>
      <c r="G21" s="313">
        <f>SUMIF($K$29:$K$128,"Project Direct",M$29:M$128)</f>
        <v>945.6</v>
      </c>
      <c r="H21" s="310">
        <f>SUMIF($K$29:$K$128,"Project Direct",N$29:N$128)</f>
        <v>0</v>
      </c>
      <c r="I21" s="310">
        <f>SUMIF($K$29:$K$128,"Project Direct",O$29:O$128)</f>
        <v>0</v>
      </c>
      <c r="J21" s="310">
        <f>SUMIF($K$29:$K$128,"Project Direct",P$29:P$128)</f>
        <v>0</v>
      </c>
      <c r="K21" s="246">
        <f t="shared" si="0"/>
        <v>321868.93</v>
      </c>
      <c r="L21" s="175"/>
      <c r="M21" s="175"/>
      <c r="N21" s="175"/>
      <c r="O21" s="27"/>
      <c r="P21" s="27"/>
    </row>
    <row r="22" spans="2:17" ht="15.75" x14ac:dyDescent="0.25">
      <c r="B22" s="300">
        <v>8</v>
      </c>
      <c r="C22" s="308" t="s">
        <v>146</v>
      </c>
      <c r="D22" s="314"/>
      <c r="F22" s="315">
        <f>SUM(F19:F21)</f>
        <v>376919.43</v>
      </c>
      <c r="G22" s="316">
        <f>SUM(G19:G21)</f>
        <v>945.6</v>
      </c>
      <c r="H22" s="315">
        <f>SUM(H19:H21)</f>
        <v>0</v>
      </c>
      <c r="I22" s="315">
        <f>SUM(I19:I21)</f>
        <v>0</v>
      </c>
      <c r="J22" s="315">
        <f t="shared" ref="J22" si="1">SUM(J19:J21)</f>
        <v>0</v>
      </c>
      <c r="K22" s="246">
        <f t="shared" si="0"/>
        <v>377865.02999999997</v>
      </c>
      <c r="L22" s="175"/>
      <c r="M22" s="175"/>
      <c r="N22" s="175"/>
      <c r="O22" s="27"/>
      <c r="P22" s="27"/>
    </row>
    <row r="23" spans="2:17" ht="30.95" customHeight="1" x14ac:dyDescent="0.25">
      <c r="B23" s="300">
        <v>9</v>
      </c>
      <c r="C23" s="317" t="s">
        <v>239</v>
      </c>
      <c r="D23" s="318"/>
      <c r="E23" s="319"/>
      <c r="F23" s="320">
        <f>SUM(F15:F16,F18:F21)</f>
        <v>495462.9</v>
      </c>
      <c r="G23" s="320">
        <f>SUM(G15:G16,G19:G21)</f>
        <v>945.6</v>
      </c>
      <c r="H23" s="320">
        <f t="shared" ref="H23:J23" si="2">SUM(H15:H16,H19:H21)</f>
        <v>0</v>
      </c>
      <c r="I23" s="320">
        <f t="shared" si="2"/>
        <v>0</v>
      </c>
      <c r="J23" s="320">
        <f t="shared" si="2"/>
        <v>0</v>
      </c>
      <c r="K23" s="279">
        <f t="shared" si="0"/>
        <v>496408.5</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21</v>
      </c>
      <c r="E29" s="144" t="s">
        <v>793</v>
      </c>
      <c r="F29" s="415" t="s">
        <v>796</v>
      </c>
      <c r="G29" s="38">
        <v>43350</v>
      </c>
      <c r="H29" s="38">
        <v>43466</v>
      </c>
      <c r="I29" s="30">
        <v>1580000</v>
      </c>
      <c r="J29" s="30"/>
      <c r="K29" s="326" t="s">
        <v>140</v>
      </c>
      <c r="L29" s="32">
        <v>17540.099999999999</v>
      </c>
      <c r="M29" s="32"/>
      <c r="N29" s="30"/>
      <c r="O29" s="30"/>
      <c r="P29" s="34"/>
      <c r="Q29" s="246">
        <f>SUM(L29:P29)</f>
        <v>17540.099999999999</v>
      </c>
    </row>
    <row r="30" spans="2:17" ht="30" x14ac:dyDescent="0.2">
      <c r="B30" s="276">
        <v>10</v>
      </c>
      <c r="C30" s="218" t="s">
        <v>25</v>
      </c>
      <c r="D30" s="327">
        <f t="shared" ref="D30:J31" si="3">IF(ISBLANK(D29),"",D29)</f>
        <v>21</v>
      </c>
      <c r="E30" s="328" t="str">
        <f t="shared" si="3"/>
        <v>Technology Suite Collaborative(Older Adult Focused Project)</v>
      </c>
      <c r="F30" s="329" t="str">
        <f t="shared" si="3"/>
        <v>Technology Suite Collaborative</v>
      </c>
      <c r="G30" s="329">
        <f t="shared" si="3"/>
        <v>43350</v>
      </c>
      <c r="H30" s="329">
        <f t="shared" si="3"/>
        <v>43466</v>
      </c>
      <c r="I30" s="330">
        <f t="shared" si="3"/>
        <v>1580000</v>
      </c>
      <c r="J30" s="330" t="str">
        <f t="shared" si="3"/>
        <v/>
      </c>
      <c r="K30" s="275" t="s">
        <v>141</v>
      </c>
      <c r="L30" s="136"/>
      <c r="M30" s="32"/>
      <c r="N30" s="30"/>
      <c r="O30" s="30"/>
      <c r="P30" s="34"/>
      <c r="Q30" s="246">
        <f t="shared" ref="Q30:Q60" si="4">SUM(L30:P30)</f>
        <v>0</v>
      </c>
    </row>
    <row r="31" spans="2:17" ht="30" x14ac:dyDescent="0.2">
      <c r="B31" s="276">
        <v>10</v>
      </c>
      <c r="C31" s="218" t="s">
        <v>27</v>
      </c>
      <c r="D31" s="327">
        <f t="shared" ref="D31:I31" si="5">IF(ISBLANK(D29),"",D29)</f>
        <v>21</v>
      </c>
      <c r="E31" s="331" t="str">
        <f t="shared" si="5"/>
        <v>Technology Suite Collaborative(Older Adult Focused Project)</v>
      </c>
      <c r="F31" s="332" t="str">
        <f t="shared" si="5"/>
        <v>Technology Suite Collaborative</v>
      </c>
      <c r="G31" s="332">
        <f t="shared" si="5"/>
        <v>43350</v>
      </c>
      <c r="H31" s="332">
        <f t="shared" si="5"/>
        <v>43466</v>
      </c>
      <c r="I31" s="275">
        <f t="shared" si="5"/>
        <v>1580000</v>
      </c>
      <c r="J31" s="275" t="str">
        <f t="shared" si="3"/>
        <v/>
      </c>
      <c r="K31" s="275" t="s">
        <v>197</v>
      </c>
      <c r="L31" s="32">
        <f>115276.38+4603.48</f>
        <v>119879.86</v>
      </c>
      <c r="M31" s="32"/>
      <c r="N31" s="30"/>
      <c r="O31" s="30"/>
      <c r="P31" s="34"/>
      <c r="Q31" s="246">
        <f t="shared" si="4"/>
        <v>119879.86</v>
      </c>
    </row>
    <row r="32" spans="2:17" ht="31.5" x14ac:dyDescent="0.25">
      <c r="B32" s="333">
        <v>10</v>
      </c>
      <c r="C32" s="333" t="s">
        <v>202</v>
      </c>
      <c r="D32" s="334">
        <f t="shared" ref="D32:J32" si="6">IF(ISBLANK(D29),"",D29)</f>
        <v>21</v>
      </c>
      <c r="E32" s="335" t="str">
        <f t="shared" si="6"/>
        <v>Technology Suite Collaborative(Older Adult Focused Project)</v>
      </c>
      <c r="F32" s="336" t="str">
        <f t="shared" si="6"/>
        <v>Technology Suite Collaborative</v>
      </c>
      <c r="G32" s="336">
        <f t="shared" si="6"/>
        <v>43350</v>
      </c>
      <c r="H32" s="336">
        <f t="shared" si="6"/>
        <v>43466</v>
      </c>
      <c r="I32" s="337">
        <f t="shared" si="6"/>
        <v>1580000</v>
      </c>
      <c r="J32" s="337" t="str">
        <f t="shared" si="6"/>
        <v/>
      </c>
      <c r="K32" s="279" t="s">
        <v>217</v>
      </c>
      <c r="L32" s="338">
        <f>SUM(L29:L31)</f>
        <v>137419.96</v>
      </c>
      <c r="M32" s="338">
        <f>SUM(M29:M31)</f>
        <v>0</v>
      </c>
      <c r="N32" s="339">
        <f t="shared" ref="N32:P32" si="7">SUM(N29:N31)</f>
        <v>0</v>
      </c>
      <c r="O32" s="339">
        <f t="shared" si="7"/>
        <v>0</v>
      </c>
      <c r="P32" s="340">
        <f t="shared" si="7"/>
        <v>0</v>
      </c>
      <c r="Q32" s="279">
        <f t="shared" si="4"/>
        <v>137419.96</v>
      </c>
    </row>
    <row r="33" spans="2:17" ht="30" x14ac:dyDescent="0.2">
      <c r="B33" s="276">
        <v>11</v>
      </c>
      <c r="C33" s="293" t="s">
        <v>23</v>
      </c>
      <c r="D33" s="325">
        <f>IF(Q36&lt;&gt;0,VLOOKUP($E$9,Info_County_Code,2,FALSE),"")</f>
        <v>21</v>
      </c>
      <c r="E33" s="144" t="s">
        <v>794</v>
      </c>
      <c r="F33" s="415"/>
      <c r="G33" s="38">
        <v>44343</v>
      </c>
      <c r="H33" s="38">
        <v>44576</v>
      </c>
      <c r="I33" s="126">
        <v>1795000</v>
      </c>
      <c r="J33" s="30"/>
      <c r="K33" s="326" t="str">
        <f>IF(NOT(ISBLANK(E33)),$K$29,"")</f>
        <v>Project Administration</v>
      </c>
      <c r="L33" s="425">
        <v>14782.54</v>
      </c>
      <c r="M33" s="32"/>
      <c r="N33" s="30"/>
      <c r="O33" s="30"/>
      <c r="P33" s="34"/>
      <c r="Q33" s="246">
        <f t="shared" ref="Q33:Q36" si="8">SUM(L33:P33)</f>
        <v>14782.54</v>
      </c>
    </row>
    <row r="34" spans="2:17" ht="30" x14ac:dyDescent="0.2">
      <c r="B34" s="276">
        <v>11</v>
      </c>
      <c r="C34" s="218" t="s">
        <v>25</v>
      </c>
      <c r="D34" s="327">
        <f t="shared" ref="D34:J34" si="9">IF(ISBLANK(D33),"",D33)</f>
        <v>21</v>
      </c>
      <c r="E34" s="328" t="str">
        <f t="shared" si="9"/>
        <v>From Housing To Healing, Entry Community for Women</v>
      </c>
      <c r="F34" s="329" t="str">
        <f t="shared" si="9"/>
        <v/>
      </c>
      <c r="G34" s="329">
        <f t="shared" si="9"/>
        <v>44343</v>
      </c>
      <c r="H34" s="329">
        <f t="shared" si="9"/>
        <v>44576</v>
      </c>
      <c r="I34" s="330">
        <f t="shared" si="9"/>
        <v>1795000</v>
      </c>
      <c r="J34" s="330" t="str">
        <f t="shared" si="9"/>
        <v/>
      </c>
      <c r="K34" s="275" t="str">
        <f>IF(NOT(ISBLANK(E33)),$K$30,"")</f>
        <v>Project Evaluation</v>
      </c>
      <c r="L34" s="425">
        <f>12062.77</f>
        <v>12062.77</v>
      </c>
      <c r="M34" s="32"/>
      <c r="N34" s="30"/>
      <c r="O34" s="30"/>
      <c r="P34" s="34"/>
      <c r="Q34" s="246">
        <f t="shared" si="8"/>
        <v>12062.77</v>
      </c>
    </row>
    <row r="35" spans="2:17" ht="30" x14ac:dyDescent="0.2">
      <c r="B35" s="276">
        <v>11</v>
      </c>
      <c r="C35" s="218" t="s">
        <v>27</v>
      </c>
      <c r="D35" s="327">
        <f t="shared" ref="D35:J35" si="10">IF(ISBLANK(D33),"",D33)</f>
        <v>21</v>
      </c>
      <c r="E35" s="331" t="str">
        <f t="shared" si="10"/>
        <v>From Housing To Healing, Entry Community for Women</v>
      </c>
      <c r="F35" s="332" t="str">
        <f t="shared" si="10"/>
        <v/>
      </c>
      <c r="G35" s="332">
        <f t="shared" si="10"/>
        <v>44343</v>
      </c>
      <c r="H35" s="332">
        <f t="shared" si="10"/>
        <v>44576</v>
      </c>
      <c r="I35" s="275">
        <f t="shared" si="10"/>
        <v>1795000</v>
      </c>
      <c r="J35" s="275" t="str">
        <f t="shared" si="10"/>
        <v/>
      </c>
      <c r="K35" s="275" t="str">
        <f>IF(NOT(ISBLANK(E33)),$K$31,"")</f>
        <v>Project Direct</v>
      </c>
      <c r="L35" s="32">
        <f>32473.44+107416.78+460.03-M35-N35-O35-P35</f>
        <v>139404.65</v>
      </c>
      <c r="M35" s="32">
        <v>945.6</v>
      </c>
      <c r="N35" s="30"/>
      <c r="O35" s="30"/>
      <c r="P35" s="34"/>
      <c r="Q35" s="246">
        <f t="shared" si="8"/>
        <v>140350.25</v>
      </c>
    </row>
    <row r="36" spans="2:17" ht="31.5" x14ac:dyDescent="0.25">
      <c r="B36" s="333">
        <v>11</v>
      </c>
      <c r="C36" s="333" t="s">
        <v>202</v>
      </c>
      <c r="D36" s="334">
        <f t="shared" ref="D36:J36" si="11">IF(ISBLANK(D33),"",D33)</f>
        <v>21</v>
      </c>
      <c r="E36" s="335" t="str">
        <f t="shared" si="11"/>
        <v>From Housing To Healing, Entry Community for Women</v>
      </c>
      <c r="F36" s="336" t="str">
        <f t="shared" si="11"/>
        <v/>
      </c>
      <c r="G36" s="336">
        <f t="shared" si="11"/>
        <v>44343</v>
      </c>
      <c r="H36" s="336">
        <f t="shared" si="11"/>
        <v>44576</v>
      </c>
      <c r="I36" s="337">
        <f t="shared" si="11"/>
        <v>1795000</v>
      </c>
      <c r="J36" s="337" t="str">
        <f t="shared" si="11"/>
        <v/>
      </c>
      <c r="K36" s="279" t="str">
        <f>IF(NOT(ISBLANK(E33)),$K$32,"")</f>
        <v>Project Subtotal</v>
      </c>
      <c r="L36" s="338">
        <f t="shared" ref="L36" si="12">SUM(L33:L35)</f>
        <v>166249.96</v>
      </c>
      <c r="M36" s="338">
        <f>SUM(M33:M35)</f>
        <v>945.6</v>
      </c>
      <c r="N36" s="339">
        <f t="shared" ref="N36:P36" si="13">SUM(N33:N35)</f>
        <v>0</v>
      </c>
      <c r="O36" s="339">
        <f t="shared" si="13"/>
        <v>0</v>
      </c>
      <c r="P36" s="340">
        <f t="shared" si="13"/>
        <v>0</v>
      </c>
      <c r="Q36" s="279">
        <f t="shared" si="8"/>
        <v>167195.56</v>
      </c>
    </row>
    <row r="37" spans="2:17" x14ac:dyDescent="0.2">
      <c r="B37" s="276">
        <v>12</v>
      </c>
      <c r="C37" s="293" t="s">
        <v>23</v>
      </c>
      <c r="D37" s="325">
        <f>IF(Q40&lt;&gt;0,VLOOKUP($E$9,Info_County_Code,2,FALSE),"")</f>
        <v>21</v>
      </c>
      <c r="E37" s="144" t="s">
        <v>795</v>
      </c>
      <c r="F37" s="415"/>
      <c r="G37" s="424">
        <v>44462</v>
      </c>
      <c r="H37" s="424">
        <v>44635</v>
      </c>
      <c r="I37" s="126">
        <v>1648000</v>
      </c>
      <c r="J37" s="30"/>
      <c r="K37" s="326" t="str">
        <f>IF(NOT(ISBLANK(E37)),$K$29,"")</f>
        <v>Project Administration</v>
      </c>
      <c r="L37" s="32">
        <v>6476.14</v>
      </c>
      <c r="M37" s="32"/>
      <c r="N37" s="30"/>
      <c r="O37" s="30"/>
      <c r="P37" s="34"/>
      <c r="Q37" s="246">
        <f t="shared" si="4"/>
        <v>6476.14</v>
      </c>
    </row>
    <row r="38" spans="2:17" x14ac:dyDescent="0.2">
      <c r="B38" s="276">
        <v>12</v>
      </c>
      <c r="C38" s="218" t="s">
        <v>25</v>
      </c>
      <c r="D38" s="327">
        <f t="shared" ref="D38:J38" si="14">IF(ISBLANK(D37),"",D37)</f>
        <v>21</v>
      </c>
      <c r="E38" s="328" t="str">
        <f t="shared" si="14"/>
        <v>Student Wellness Ambassador Program (SWAP)</v>
      </c>
      <c r="F38" s="329" t="str">
        <f t="shared" si="14"/>
        <v/>
      </c>
      <c r="G38" s="329">
        <f t="shared" si="14"/>
        <v>44462</v>
      </c>
      <c r="H38" s="329">
        <f t="shared" si="14"/>
        <v>44635</v>
      </c>
      <c r="I38" s="330">
        <f t="shared" si="14"/>
        <v>1648000</v>
      </c>
      <c r="J38" s="330" t="str">
        <f t="shared" si="14"/>
        <v/>
      </c>
      <c r="K38" s="275" t="str">
        <f>IF(NOT(ISBLANK(E37)),$K$30,"")</f>
        <v>Project Evaluation</v>
      </c>
      <c r="L38" s="425">
        <f>5134.55</f>
        <v>5134.55</v>
      </c>
      <c r="M38" s="32"/>
      <c r="N38" s="30"/>
      <c r="O38" s="30"/>
      <c r="P38" s="34"/>
      <c r="Q38" s="246">
        <f t="shared" si="4"/>
        <v>5134.55</v>
      </c>
    </row>
    <row r="39" spans="2:17" x14ac:dyDescent="0.2">
      <c r="B39" s="276">
        <v>12</v>
      </c>
      <c r="C39" s="218" t="s">
        <v>27</v>
      </c>
      <c r="D39" s="327">
        <f t="shared" ref="D39:J39" si="15">IF(ISBLANK(D37),"",D37)</f>
        <v>21</v>
      </c>
      <c r="E39" s="331" t="str">
        <f t="shared" si="15"/>
        <v>Student Wellness Ambassador Program (SWAP)</v>
      </c>
      <c r="F39" s="332" t="str">
        <f t="shared" si="15"/>
        <v/>
      </c>
      <c r="G39" s="332">
        <f t="shared" si="15"/>
        <v>44462</v>
      </c>
      <c r="H39" s="332">
        <f t="shared" si="15"/>
        <v>44635</v>
      </c>
      <c r="I39" s="275">
        <f t="shared" si="15"/>
        <v>1648000</v>
      </c>
      <c r="J39" s="275" t="str">
        <f t="shared" si="15"/>
        <v/>
      </c>
      <c r="K39" s="275" t="str">
        <f>IF(NOT(ISBLANK(E37)),$K$31,"")</f>
        <v>Project Direct</v>
      </c>
      <c r="L39" s="32">
        <v>61638.82</v>
      </c>
      <c r="M39" s="32"/>
      <c r="N39" s="30"/>
      <c r="O39" s="30"/>
      <c r="P39" s="34"/>
      <c r="Q39" s="246">
        <f t="shared" si="4"/>
        <v>61638.82</v>
      </c>
    </row>
    <row r="40" spans="2:17" ht="15.75" x14ac:dyDescent="0.25">
      <c r="B40" s="333">
        <v>12</v>
      </c>
      <c r="C40" s="333" t="s">
        <v>202</v>
      </c>
      <c r="D40" s="334">
        <f t="shared" ref="D40:J40" si="16">IF(ISBLANK(D37),"",D37)</f>
        <v>21</v>
      </c>
      <c r="E40" s="335" t="str">
        <f t="shared" si="16"/>
        <v>Student Wellness Ambassador Program (SWAP)</v>
      </c>
      <c r="F40" s="336" t="str">
        <f t="shared" si="16"/>
        <v/>
      </c>
      <c r="G40" s="336">
        <f t="shared" si="16"/>
        <v>44462</v>
      </c>
      <c r="H40" s="336">
        <f t="shared" si="16"/>
        <v>44635</v>
      </c>
      <c r="I40" s="337">
        <f t="shared" si="16"/>
        <v>1648000</v>
      </c>
      <c r="J40" s="337" t="str">
        <f t="shared" si="16"/>
        <v/>
      </c>
      <c r="K40" s="279" t="str">
        <f>IF(NOT(ISBLANK(E37)),$K$32,"")</f>
        <v>Project Subtotal</v>
      </c>
      <c r="L40" s="338">
        <f t="shared" ref="L40" si="17">SUM(L37:L39)</f>
        <v>73249.509999999995</v>
      </c>
      <c r="M40" s="338">
        <f>SUM(M37:M39)</f>
        <v>0</v>
      </c>
      <c r="N40" s="339">
        <f t="shared" ref="N40" si="18">SUM(N37:N39)</f>
        <v>0</v>
      </c>
      <c r="O40" s="339">
        <f t="shared" ref="O40" si="19">SUM(O37:O39)</f>
        <v>0</v>
      </c>
      <c r="P40" s="340">
        <f t="shared" ref="P40" si="20">SUM(P37:P39)</f>
        <v>0</v>
      </c>
      <c r="Q40" s="279">
        <f t="shared" si="4"/>
        <v>73249.509999999995</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legacy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1" zoomScale="80" zoomScaleNormal="80" zoomScaleSheetLayoutView="55" workbookViewId="0">
      <selection activeCell="F20" activeCellId="2" sqref="F17 F18 F20"/>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2021-2022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Marin</v>
      </c>
      <c r="F9" s="226" t="s">
        <v>1</v>
      </c>
      <c r="G9" s="346">
        <f>IF(ISBLANK('1. Information'!D9),"",'1. Information'!D9)</f>
        <v>44875</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c r="G15" s="136"/>
      <c r="H15" s="136"/>
      <c r="I15" s="136"/>
      <c r="J15" s="136"/>
      <c r="K15" s="241">
        <f>SUM(F15:J15)</f>
        <v>0</v>
      </c>
      <c r="L15" s="175"/>
      <c r="M15" s="175"/>
      <c r="N15" s="27"/>
      <c r="O15" s="27"/>
    </row>
    <row r="16" spans="1:22" ht="15.75" x14ac:dyDescent="0.25">
      <c r="A16" s="27"/>
      <c r="B16" s="300">
        <v>2</v>
      </c>
      <c r="C16" s="163" t="s">
        <v>14</v>
      </c>
      <c r="D16" s="242"/>
      <c r="E16" s="350"/>
      <c r="F16" s="136"/>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f>31125.73+65133.18-G17-H17-I17-J17</f>
        <v>96258.91</v>
      </c>
      <c r="G17" s="136"/>
      <c r="H17" s="136"/>
      <c r="I17" s="136"/>
      <c r="J17" s="136"/>
      <c r="K17" s="241">
        <f t="shared" si="0"/>
        <v>96258.91</v>
      </c>
      <c r="L17" s="175"/>
      <c r="M17" s="175"/>
      <c r="N17" s="27"/>
      <c r="O17" s="27"/>
    </row>
    <row r="18" spans="1:22" ht="15.75" x14ac:dyDescent="0.25">
      <c r="A18" s="27"/>
      <c r="B18" s="300">
        <v>4</v>
      </c>
      <c r="C18" s="163" t="s">
        <v>189</v>
      </c>
      <c r="D18" s="242"/>
      <c r="E18" s="350"/>
      <c r="F18" s="136">
        <v>79333</v>
      </c>
      <c r="G18" s="275"/>
      <c r="H18" s="275"/>
      <c r="I18" s="275"/>
      <c r="J18" s="275"/>
      <c r="K18" s="241">
        <f>F18</f>
        <v>79333</v>
      </c>
      <c r="L18" s="175"/>
      <c r="M18" s="175"/>
      <c r="N18" s="27"/>
      <c r="O18" s="27"/>
    </row>
    <row r="19" spans="1:22" ht="15.75" x14ac:dyDescent="0.25">
      <c r="A19" s="27"/>
      <c r="B19" s="300">
        <v>5</v>
      </c>
      <c r="C19" s="163" t="s">
        <v>296</v>
      </c>
      <c r="D19" s="242"/>
      <c r="E19" s="350"/>
      <c r="F19" s="136">
        <v>289.79000000000002</v>
      </c>
      <c r="G19" s="275"/>
      <c r="H19" s="275"/>
      <c r="I19" s="275"/>
      <c r="J19" s="275"/>
      <c r="K19" s="241">
        <f>F19</f>
        <v>289.79000000000002</v>
      </c>
      <c r="L19" s="175"/>
      <c r="M19" s="175"/>
      <c r="N19" s="27"/>
      <c r="O19" s="27"/>
    </row>
    <row r="20" spans="1:22" ht="15.75" x14ac:dyDescent="0.25">
      <c r="A20" s="27"/>
      <c r="B20" s="300">
        <v>6</v>
      </c>
      <c r="C20" s="242" t="s">
        <v>153</v>
      </c>
      <c r="D20" s="245"/>
      <c r="E20" s="243"/>
      <c r="F20" s="330">
        <f>SUM(E28:E32)</f>
        <v>279503.23</v>
      </c>
      <c r="G20" s="351">
        <f t="shared" ref="G20:I20" si="1">SUM(F28:F32)</f>
        <v>0</v>
      </c>
      <c r="H20" s="330">
        <f t="shared" si="1"/>
        <v>0</v>
      </c>
      <c r="I20" s="330">
        <f t="shared" si="1"/>
        <v>0</v>
      </c>
      <c r="J20" s="330">
        <f>SUM(I28:I32)</f>
        <v>61671.73</v>
      </c>
      <c r="K20" s="246">
        <f t="shared" si="0"/>
        <v>341174.95999999996</v>
      </c>
      <c r="L20" s="175"/>
      <c r="M20" s="175"/>
      <c r="N20" s="27"/>
      <c r="O20" s="27"/>
    </row>
    <row r="21" spans="1:22" ht="30.95" customHeight="1" x14ac:dyDescent="0.25">
      <c r="A21" s="27"/>
      <c r="B21" s="300">
        <v>7</v>
      </c>
      <c r="C21" s="277" t="s">
        <v>188</v>
      </c>
      <c r="D21" s="277"/>
      <c r="E21" s="277"/>
      <c r="F21" s="279">
        <f>SUM(F15:F17,F19:F20)</f>
        <v>376051.93</v>
      </c>
      <c r="G21" s="251">
        <f>SUM(G15:G17,G20)</f>
        <v>0</v>
      </c>
      <c r="H21" s="250">
        <f>SUM(H15:H17,H20)</f>
        <v>0</v>
      </c>
      <c r="I21" s="250">
        <f>SUM(I15:I17,I20)</f>
        <v>0</v>
      </c>
      <c r="J21" s="250">
        <f>SUM(J15:J17,J20)</f>
        <v>61671.73</v>
      </c>
      <c r="K21" s="279">
        <f t="shared" si="0"/>
        <v>437723.66</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21</v>
      </c>
      <c r="D28" s="355" t="s">
        <v>98</v>
      </c>
      <c r="E28" s="31">
        <f>200572.62-F28-G28-H28-I28</f>
        <v>138900.88999999998</v>
      </c>
      <c r="F28" s="32"/>
      <c r="G28" s="31"/>
      <c r="H28" s="31"/>
      <c r="I28" s="128">
        <v>61671.73</v>
      </c>
      <c r="J28" s="275">
        <f>SUM(E28:I28)</f>
        <v>200572.62</v>
      </c>
      <c r="K28" s="175"/>
      <c r="L28" s="175"/>
      <c r="M28" s="175"/>
      <c r="N28" s="175"/>
      <c r="O28" s="175"/>
      <c r="P28" s="175"/>
      <c r="Q28" s="175"/>
      <c r="R28" s="175"/>
    </row>
    <row r="29" spans="1:22" ht="15.75" x14ac:dyDescent="0.25">
      <c r="A29" s="27"/>
      <c r="B29" s="300">
        <v>9</v>
      </c>
      <c r="C29" s="301">
        <f t="shared" si="2"/>
        <v>21</v>
      </c>
      <c r="D29" s="355" t="s">
        <v>99</v>
      </c>
      <c r="E29" s="31">
        <f>49677.5-F29-G29-H29-I29</f>
        <v>49677.5</v>
      </c>
      <c r="F29" s="32"/>
      <c r="G29" s="31"/>
      <c r="H29" s="31"/>
      <c r="I29" s="128"/>
      <c r="J29" s="275">
        <f t="shared" ref="J29:J32" si="3">SUM(E29:I29)</f>
        <v>49677.5</v>
      </c>
      <c r="K29" s="175"/>
      <c r="L29" s="175"/>
      <c r="M29" s="175"/>
      <c r="N29" s="175"/>
      <c r="O29" s="175"/>
      <c r="P29" s="175"/>
      <c r="Q29" s="175"/>
      <c r="R29" s="175"/>
    </row>
    <row r="30" spans="1:22" ht="15.75" x14ac:dyDescent="0.25">
      <c r="A30" s="27"/>
      <c r="B30" s="300">
        <v>10</v>
      </c>
      <c r="C30" s="301">
        <f t="shared" si="2"/>
        <v>21</v>
      </c>
      <c r="D30" s="219" t="s">
        <v>295</v>
      </c>
      <c r="E30" s="31">
        <f>90924.84-F30-G30-H30-I30</f>
        <v>90924.84</v>
      </c>
      <c r="F30" s="32"/>
      <c r="G30" s="31"/>
      <c r="H30" s="31"/>
      <c r="I30" s="128"/>
      <c r="J30" s="275">
        <f t="shared" si="3"/>
        <v>90924.84</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75" zoomScaleNormal="75" zoomScaleSheetLayoutView="40" workbookViewId="0">
      <selection activeCell="K27" sqref="K2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2021-2022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Marin</v>
      </c>
      <c r="E9" s="8"/>
      <c r="F9" s="162" t="s">
        <v>1</v>
      </c>
      <c r="G9" s="264">
        <f>IF(ISBLANK('1. Information'!D9),"",'1. Information'!D9)</f>
        <v>44875</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f>30598.66+65467.83-G17-H17-I17-J17</f>
        <v>96066.49</v>
      </c>
      <c r="G17" s="136"/>
      <c r="H17" s="136"/>
      <c r="I17" s="136"/>
      <c r="J17" s="136"/>
      <c r="K17" s="326">
        <f t="shared" si="0"/>
        <v>96066.49</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423355.47000000003</v>
      </c>
      <c r="G20" s="351">
        <f>SUM(H27:H46)</f>
        <v>0</v>
      </c>
      <c r="H20" s="330">
        <f t="shared" ref="H20" si="1">SUM(I27:I46)</f>
        <v>0</v>
      </c>
      <c r="I20" s="330">
        <f>SUM(J27:J46)</f>
        <v>0</v>
      </c>
      <c r="J20" s="275">
        <f>SUM(K27:K46)</f>
        <v>0</v>
      </c>
      <c r="K20" s="326">
        <f t="shared" si="0"/>
        <v>423355.47000000003</v>
      </c>
      <c r="L20" s="175"/>
      <c r="M20" s="175"/>
      <c r="U20" s="27"/>
      <c r="V20" s="27"/>
      <c r="W20" s="27"/>
    </row>
    <row r="21" spans="1:23" ht="30.95" customHeight="1" x14ac:dyDescent="0.25">
      <c r="B21" s="300">
        <v>7</v>
      </c>
      <c r="C21" s="359" t="s">
        <v>768</v>
      </c>
      <c r="D21" s="360"/>
      <c r="E21" s="361"/>
      <c r="F21" s="279">
        <f>SUM(F15:F17,F19:F20)</f>
        <v>519421.96</v>
      </c>
      <c r="G21" s="251">
        <f>SUM(G15:G17,G20)</f>
        <v>0</v>
      </c>
      <c r="H21" s="251">
        <f t="shared" ref="H21:J21" si="2">SUM(H15:H17,H20)</f>
        <v>0</v>
      </c>
      <c r="I21" s="251">
        <f t="shared" si="2"/>
        <v>0</v>
      </c>
      <c r="J21" s="251">
        <f t="shared" si="2"/>
        <v>0</v>
      </c>
      <c r="K21" s="250">
        <f>SUM(F21:J21)</f>
        <v>519421.96</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21</v>
      </c>
      <c r="D27" s="148" t="s">
        <v>789</v>
      </c>
      <c r="E27" s="144"/>
      <c r="F27" s="127" t="s">
        <v>155</v>
      </c>
      <c r="G27" s="126">
        <v>346956.95</v>
      </c>
      <c r="H27" s="126"/>
      <c r="I27" s="126"/>
      <c r="J27" s="129"/>
      <c r="K27" s="126"/>
      <c r="L27" s="364">
        <f>SUM(G27:K27)</f>
        <v>346956.95</v>
      </c>
      <c r="M27" s="175"/>
      <c r="U27" s="27"/>
      <c r="V27" s="27"/>
      <c r="W27" s="27"/>
    </row>
    <row r="28" spans="1:23" x14ac:dyDescent="0.25">
      <c r="B28" s="300">
        <v>9</v>
      </c>
      <c r="C28" s="301">
        <f t="shared" si="3"/>
        <v>21</v>
      </c>
      <c r="D28" s="134" t="s">
        <v>790</v>
      </c>
      <c r="E28" s="144"/>
      <c r="F28" s="127" t="s">
        <v>155</v>
      </c>
      <c r="G28" s="126">
        <v>22201.5</v>
      </c>
      <c r="H28" s="126"/>
      <c r="I28" s="126"/>
      <c r="J28" s="129"/>
      <c r="K28" s="126"/>
      <c r="L28" s="364">
        <f t="shared" ref="L28:L46" si="4">SUM(G28:K28)</f>
        <v>22201.5</v>
      </c>
      <c r="M28" s="175"/>
      <c r="U28" s="27"/>
      <c r="V28" s="27"/>
      <c r="W28" s="27"/>
    </row>
    <row r="29" spans="1:23" x14ac:dyDescent="0.25">
      <c r="B29" s="300">
        <v>10</v>
      </c>
      <c r="C29" s="301">
        <f t="shared" si="3"/>
        <v>21</v>
      </c>
      <c r="D29" s="134" t="s">
        <v>791</v>
      </c>
      <c r="E29" s="144"/>
      <c r="F29" s="127" t="s">
        <v>155</v>
      </c>
      <c r="G29" s="126">
        <v>24027.02</v>
      </c>
      <c r="H29" s="126"/>
      <c r="I29" s="126"/>
      <c r="J29" s="129"/>
      <c r="K29" s="126"/>
      <c r="L29" s="364">
        <f t="shared" si="4"/>
        <v>24027.02</v>
      </c>
      <c r="M29" s="175"/>
      <c r="U29" s="27"/>
      <c r="V29" s="27"/>
      <c r="W29" s="27"/>
    </row>
    <row r="30" spans="1:23" x14ac:dyDescent="0.25">
      <c r="B30" s="300">
        <v>11</v>
      </c>
      <c r="C30" s="301">
        <f t="shared" si="3"/>
        <v>21</v>
      </c>
      <c r="D30" s="134" t="s">
        <v>792</v>
      </c>
      <c r="E30" s="144"/>
      <c r="F30" s="127" t="s">
        <v>155</v>
      </c>
      <c r="G30" s="126">
        <v>30170</v>
      </c>
      <c r="H30" s="126"/>
      <c r="I30" s="126"/>
      <c r="J30" s="129"/>
      <c r="K30" s="126"/>
      <c r="L30" s="364">
        <f t="shared" si="4"/>
        <v>30170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26" zoomScale="85" zoomScaleNormal="85" workbookViewId="0">
      <selection activeCell="H41" sqref="H4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2021-2022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Marin</v>
      </c>
      <c r="E9" s="2"/>
      <c r="F9" s="365" t="s">
        <v>156</v>
      </c>
      <c r="G9" s="264">
        <f>IF(ISBLANK('1. Information'!D9),"",'1. Information'!D9)</f>
        <v>44875</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f t="shared" ref="C15:C44" si="0">IF(G15&lt;&gt;0,VLOOKUP($D$9,Info_County_Code,2,FALSE),"")</f>
        <v>21</v>
      </c>
      <c r="D15" s="40" t="s">
        <v>29</v>
      </c>
      <c r="E15" s="40" t="s">
        <v>807</v>
      </c>
      <c r="F15" s="150" t="s">
        <v>809</v>
      </c>
      <c r="G15" s="132">
        <v>3294.72</v>
      </c>
      <c r="H15" s="420" t="s">
        <v>817</v>
      </c>
    </row>
    <row r="16" spans="1:11" x14ac:dyDescent="0.2">
      <c r="B16" s="300">
        <v>2</v>
      </c>
      <c r="C16" s="301">
        <f t="shared" si="0"/>
        <v>21</v>
      </c>
      <c r="D16" s="40" t="s">
        <v>29</v>
      </c>
      <c r="E16" s="40" t="s">
        <v>807</v>
      </c>
      <c r="F16" s="150" t="s">
        <v>808</v>
      </c>
      <c r="G16" s="132">
        <v>5163.8900000000003</v>
      </c>
      <c r="H16" s="420" t="s">
        <v>818</v>
      </c>
    </row>
    <row r="17" spans="2:8" x14ac:dyDescent="0.2">
      <c r="B17" s="300">
        <v>3</v>
      </c>
      <c r="C17" s="301">
        <f t="shared" si="0"/>
        <v>21</v>
      </c>
      <c r="D17" s="40" t="s">
        <v>29</v>
      </c>
      <c r="E17" s="40" t="s">
        <v>807</v>
      </c>
      <c r="F17" s="150" t="s">
        <v>808</v>
      </c>
      <c r="G17" s="132">
        <v>4219.16</v>
      </c>
      <c r="H17" s="420" t="s">
        <v>819</v>
      </c>
    </row>
    <row r="18" spans="2:8" x14ac:dyDescent="0.2">
      <c r="B18" s="300">
        <v>4</v>
      </c>
      <c r="C18" s="301">
        <f t="shared" si="0"/>
        <v>21</v>
      </c>
      <c r="D18" s="40" t="s">
        <v>29</v>
      </c>
      <c r="E18" s="40" t="s">
        <v>807</v>
      </c>
      <c r="F18" s="150" t="s">
        <v>808</v>
      </c>
      <c r="G18" s="132">
        <v>8103.3</v>
      </c>
      <c r="H18" s="420" t="s">
        <v>820</v>
      </c>
    </row>
    <row r="19" spans="2:8" x14ac:dyDescent="0.2">
      <c r="B19" s="300">
        <v>5</v>
      </c>
      <c r="C19" s="301">
        <f t="shared" si="0"/>
        <v>21</v>
      </c>
      <c r="D19" s="139" t="s">
        <v>29</v>
      </c>
      <c r="E19" s="40" t="s">
        <v>807</v>
      </c>
      <c r="F19" s="150" t="s">
        <v>808</v>
      </c>
      <c r="G19" s="132">
        <v>6866.28</v>
      </c>
      <c r="H19" s="420" t="s">
        <v>821</v>
      </c>
    </row>
    <row r="20" spans="2:8" x14ac:dyDescent="0.2">
      <c r="B20" s="300">
        <v>6</v>
      </c>
      <c r="C20" s="301">
        <f t="shared" si="0"/>
        <v>21</v>
      </c>
      <c r="D20" s="40" t="s">
        <v>29</v>
      </c>
      <c r="E20" s="40" t="s">
        <v>807</v>
      </c>
      <c r="F20" s="150" t="s">
        <v>808</v>
      </c>
      <c r="G20" s="132">
        <v>-371.31</v>
      </c>
      <c r="H20" s="134" t="s">
        <v>813</v>
      </c>
    </row>
    <row r="21" spans="2:8" ht="45" x14ac:dyDescent="0.2">
      <c r="B21" s="300">
        <v>7</v>
      </c>
      <c r="C21" s="301">
        <f t="shared" si="0"/>
        <v>21</v>
      </c>
      <c r="D21" s="40" t="s">
        <v>32</v>
      </c>
      <c r="E21" s="40" t="s">
        <v>807</v>
      </c>
      <c r="F21" s="150" t="s">
        <v>810</v>
      </c>
      <c r="G21" s="132">
        <v>-100000</v>
      </c>
      <c r="H21" s="421" t="s">
        <v>822</v>
      </c>
    </row>
    <row r="22" spans="2:8" ht="45" x14ac:dyDescent="0.2">
      <c r="B22" s="300">
        <v>8</v>
      </c>
      <c r="C22" s="301">
        <f t="shared" si="0"/>
        <v>21</v>
      </c>
      <c r="D22" s="40" t="s">
        <v>28</v>
      </c>
      <c r="E22" s="40" t="s">
        <v>807</v>
      </c>
      <c r="F22" s="150" t="s">
        <v>808</v>
      </c>
      <c r="G22" s="132">
        <v>100000</v>
      </c>
      <c r="H22" s="421" t="s">
        <v>823</v>
      </c>
    </row>
    <row r="23" spans="2:8" ht="45" x14ac:dyDescent="0.2">
      <c r="B23" s="300">
        <v>9</v>
      </c>
      <c r="C23" s="301">
        <f t="shared" si="0"/>
        <v>21</v>
      </c>
      <c r="D23" s="40" t="s">
        <v>28</v>
      </c>
      <c r="E23" s="40" t="s">
        <v>807</v>
      </c>
      <c r="F23" s="150" t="s">
        <v>808</v>
      </c>
      <c r="G23" s="132">
        <v>-3018.03</v>
      </c>
      <c r="H23" s="421" t="s">
        <v>824</v>
      </c>
    </row>
    <row r="24" spans="2:8" ht="45" x14ac:dyDescent="0.2">
      <c r="B24" s="300">
        <v>10</v>
      </c>
      <c r="C24" s="301">
        <f t="shared" si="0"/>
        <v>21</v>
      </c>
      <c r="D24" s="40" t="s">
        <v>28</v>
      </c>
      <c r="E24" s="40" t="s">
        <v>807</v>
      </c>
      <c r="F24" s="150" t="s">
        <v>808</v>
      </c>
      <c r="G24" s="132">
        <v>-5150</v>
      </c>
      <c r="H24" s="416" t="s">
        <v>841</v>
      </c>
    </row>
    <row r="25" spans="2:8" ht="45" x14ac:dyDescent="0.2">
      <c r="B25" s="300">
        <v>11</v>
      </c>
      <c r="C25" s="301">
        <f t="shared" si="0"/>
        <v>21</v>
      </c>
      <c r="D25" s="40" t="s">
        <v>28</v>
      </c>
      <c r="E25" s="40" t="s">
        <v>807</v>
      </c>
      <c r="F25" s="150" t="s">
        <v>808</v>
      </c>
      <c r="G25" s="132">
        <v>5150</v>
      </c>
      <c r="H25" s="416" t="s">
        <v>841</v>
      </c>
    </row>
    <row r="26" spans="2:8" ht="30" x14ac:dyDescent="0.2">
      <c r="B26" s="300">
        <v>12</v>
      </c>
      <c r="C26" s="301">
        <f t="shared" si="0"/>
        <v>21</v>
      </c>
      <c r="D26" s="40" t="s">
        <v>28</v>
      </c>
      <c r="E26" s="40" t="s">
        <v>807</v>
      </c>
      <c r="F26" s="150" t="s">
        <v>808</v>
      </c>
      <c r="G26" s="132">
        <v>-45011.55</v>
      </c>
      <c r="H26" s="416" t="s">
        <v>811</v>
      </c>
    </row>
    <row r="27" spans="2:8" ht="30" x14ac:dyDescent="0.2">
      <c r="B27" s="300">
        <v>13</v>
      </c>
      <c r="C27" s="301">
        <f t="shared" si="0"/>
        <v>21</v>
      </c>
      <c r="D27" s="40" t="s">
        <v>28</v>
      </c>
      <c r="E27" s="40" t="s">
        <v>807</v>
      </c>
      <c r="F27" s="150" t="s">
        <v>808</v>
      </c>
      <c r="G27" s="132">
        <f>-175610.84+32637.51</f>
        <v>-142973.32999999999</v>
      </c>
      <c r="H27" s="422" t="s">
        <v>812</v>
      </c>
    </row>
    <row r="28" spans="2:8" ht="30" x14ac:dyDescent="0.2">
      <c r="B28" s="300">
        <v>14</v>
      </c>
      <c r="C28" s="301">
        <f t="shared" si="0"/>
        <v>21</v>
      </c>
      <c r="D28" s="40" t="s">
        <v>28</v>
      </c>
      <c r="E28" s="40" t="s">
        <v>807</v>
      </c>
      <c r="F28" s="150" t="s">
        <v>808</v>
      </c>
      <c r="G28" s="132">
        <v>-32637.51</v>
      </c>
      <c r="H28" s="423" t="s">
        <v>815</v>
      </c>
    </row>
    <row r="29" spans="2:8" ht="30" x14ac:dyDescent="0.2">
      <c r="B29" s="300">
        <v>15</v>
      </c>
      <c r="C29" s="301">
        <f t="shared" si="0"/>
        <v>21</v>
      </c>
      <c r="D29" s="40" t="s">
        <v>28</v>
      </c>
      <c r="E29" s="40" t="s">
        <v>807</v>
      </c>
      <c r="F29" s="150" t="s">
        <v>808</v>
      </c>
      <c r="G29" s="417">
        <f>-181.73</f>
        <v>-181.73</v>
      </c>
      <c r="H29" s="420" t="s">
        <v>814</v>
      </c>
    </row>
    <row r="30" spans="2:8" x14ac:dyDescent="0.2">
      <c r="B30" s="300">
        <v>16</v>
      </c>
      <c r="C30" s="301">
        <f t="shared" si="0"/>
        <v>21</v>
      </c>
      <c r="D30" s="40" t="s">
        <v>28</v>
      </c>
      <c r="E30" s="40" t="s">
        <v>807</v>
      </c>
      <c r="F30" s="150" t="s">
        <v>808</v>
      </c>
      <c r="G30" s="417">
        <v>-621.13</v>
      </c>
      <c r="H30" s="418" t="s">
        <v>842</v>
      </c>
    </row>
    <row r="31" spans="2:8" ht="30" x14ac:dyDescent="0.2">
      <c r="B31" s="300">
        <v>17</v>
      </c>
      <c r="C31" s="301">
        <f t="shared" si="0"/>
        <v>21</v>
      </c>
      <c r="D31" s="40" t="s">
        <v>28</v>
      </c>
      <c r="E31" s="40" t="s">
        <v>807</v>
      </c>
      <c r="F31" s="150" t="s">
        <v>808</v>
      </c>
      <c r="G31" s="417">
        <v>55</v>
      </c>
      <c r="H31" s="418" t="s">
        <v>825</v>
      </c>
    </row>
    <row r="32" spans="2:8" x14ac:dyDescent="0.2">
      <c r="B32" s="300">
        <v>18</v>
      </c>
      <c r="C32" s="301">
        <f t="shared" si="0"/>
        <v>21</v>
      </c>
      <c r="D32" s="40" t="s">
        <v>28</v>
      </c>
      <c r="E32" s="40" t="s">
        <v>807</v>
      </c>
      <c r="F32" s="150" t="s">
        <v>808</v>
      </c>
      <c r="G32" s="417">
        <v>-49</v>
      </c>
      <c r="H32" s="418" t="s">
        <v>843</v>
      </c>
    </row>
    <row r="33" spans="2:8" x14ac:dyDescent="0.2">
      <c r="B33" s="300">
        <v>19</v>
      </c>
      <c r="C33" s="301">
        <f t="shared" si="0"/>
        <v>21</v>
      </c>
      <c r="D33" s="40" t="s">
        <v>28</v>
      </c>
      <c r="E33" s="40" t="s">
        <v>807</v>
      </c>
      <c r="F33" s="150" t="s">
        <v>808</v>
      </c>
      <c r="G33" s="417">
        <v>-40</v>
      </c>
      <c r="H33" s="418" t="s">
        <v>816</v>
      </c>
    </row>
    <row r="34" spans="2:8" ht="30" x14ac:dyDescent="0.2">
      <c r="B34" s="300">
        <v>20</v>
      </c>
      <c r="C34" s="301">
        <f t="shared" si="0"/>
        <v>21</v>
      </c>
      <c r="D34" s="40" t="s">
        <v>28</v>
      </c>
      <c r="E34" s="40" t="s">
        <v>807</v>
      </c>
      <c r="F34" s="150" t="s">
        <v>808</v>
      </c>
      <c r="G34" s="417">
        <v>7875</v>
      </c>
      <c r="H34" s="418" t="s">
        <v>844</v>
      </c>
    </row>
    <row r="35" spans="2:8" ht="30" x14ac:dyDescent="0.2">
      <c r="B35" s="300">
        <v>21</v>
      </c>
      <c r="C35" s="301">
        <f t="shared" si="0"/>
        <v>21</v>
      </c>
      <c r="D35" s="40" t="s">
        <v>28</v>
      </c>
      <c r="E35" s="40" t="s">
        <v>807</v>
      </c>
      <c r="F35" s="150" t="s">
        <v>808</v>
      </c>
      <c r="G35" s="417">
        <v>-7875</v>
      </c>
      <c r="H35" s="418" t="s">
        <v>845</v>
      </c>
    </row>
    <row r="36" spans="2:8" x14ac:dyDescent="0.2">
      <c r="B36" s="300">
        <v>22</v>
      </c>
      <c r="C36" s="301" t="str">
        <f t="shared" si="0"/>
        <v/>
      </c>
      <c r="D36" s="40"/>
      <c r="E36" s="40"/>
      <c r="F36" s="150"/>
      <c r="G36" s="132"/>
      <c r="H36" s="134"/>
    </row>
    <row r="37" spans="2:8" x14ac:dyDescent="0.2">
      <c r="B37" s="300">
        <v>23</v>
      </c>
      <c r="C37" s="301">
        <f t="shared" si="0"/>
        <v>21</v>
      </c>
      <c r="D37" s="40" t="s">
        <v>28</v>
      </c>
      <c r="E37" s="40" t="s">
        <v>807</v>
      </c>
      <c r="F37" s="150" t="s">
        <v>808</v>
      </c>
      <c r="G37" s="417">
        <v>-18391.93</v>
      </c>
      <c r="H37" s="416" t="s">
        <v>826</v>
      </c>
    </row>
    <row r="38" spans="2:8" x14ac:dyDescent="0.2">
      <c r="B38" s="300">
        <v>24</v>
      </c>
      <c r="C38" s="301">
        <f t="shared" si="0"/>
        <v>21</v>
      </c>
      <c r="D38" s="40" t="s">
        <v>29</v>
      </c>
      <c r="E38" s="40" t="s">
        <v>807</v>
      </c>
      <c r="F38" s="150" t="s">
        <v>808</v>
      </c>
      <c r="G38" s="417">
        <v>25161.31</v>
      </c>
      <c r="H38" s="416" t="s">
        <v>826</v>
      </c>
    </row>
    <row r="39" spans="2:8" x14ac:dyDescent="0.2">
      <c r="B39" s="300">
        <v>25</v>
      </c>
      <c r="C39" s="301">
        <f t="shared" si="0"/>
        <v>21</v>
      </c>
      <c r="D39" s="40" t="s">
        <v>32</v>
      </c>
      <c r="E39" s="40" t="s">
        <v>807</v>
      </c>
      <c r="F39" s="150" t="s">
        <v>808</v>
      </c>
      <c r="G39" s="417">
        <v>-10881.58</v>
      </c>
      <c r="H39" s="416" t="s">
        <v>826</v>
      </c>
    </row>
    <row r="40" spans="2:8" x14ac:dyDescent="0.2">
      <c r="B40" s="300">
        <v>26</v>
      </c>
      <c r="C40" s="301">
        <f t="shared" si="0"/>
        <v>21</v>
      </c>
      <c r="D40" s="40" t="s">
        <v>30</v>
      </c>
      <c r="E40" s="40" t="s">
        <v>807</v>
      </c>
      <c r="F40" s="150" t="s">
        <v>808</v>
      </c>
      <c r="G40" s="417">
        <v>4112.2</v>
      </c>
      <c r="H40" s="416" t="s">
        <v>826</v>
      </c>
    </row>
    <row r="41" spans="2:8" ht="30" x14ac:dyDescent="0.2">
      <c r="B41" s="300">
        <v>27</v>
      </c>
      <c r="C41" s="301">
        <f t="shared" si="0"/>
        <v>21</v>
      </c>
      <c r="D41" s="40" t="s">
        <v>28</v>
      </c>
      <c r="E41" s="40" t="s">
        <v>807</v>
      </c>
      <c r="F41" s="150" t="s">
        <v>846</v>
      </c>
      <c r="G41" s="417">
        <v>-31082.04</v>
      </c>
      <c r="H41" s="418" t="s">
        <v>847</v>
      </c>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I15" sqref="I15"/>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2021-2022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Marin</v>
      </c>
      <c r="F9" s="226" t="s">
        <v>1</v>
      </c>
      <c r="G9" s="346">
        <f>IF(ISBLANK('1. Information'!D9),"",'1. Information'!D9)</f>
        <v>44875</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f t="shared" ref="C15:C54" si="0">IF(I15&lt;&gt;0,VLOOKUP($D$9,Info_County_Code,2,FALSE),"")</f>
        <v>21</v>
      </c>
      <c r="D15" s="139" t="s">
        <v>808</v>
      </c>
      <c r="E15" s="40" t="s">
        <v>160</v>
      </c>
      <c r="F15" s="143" t="s">
        <v>28</v>
      </c>
      <c r="G15" s="419">
        <v>4401747.99</v>
      </c>
      <c r="H15" s="419">
        <f>-(-62524-67941.52-26191.97-7448.53)</f>
        <v>164106.01999999999</v>
      </c>
      <c r="I15" s="374">
        <f>SUM(G15:H15)</f>
        <v>4565854.01</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2021-2022</v>
      </c>
      <c r="C6" s="1"/>
      <c r="D6" s="1"/>
    </row>
    <row r="7" spans="1:5" ht="18" x14ac:dyDescent="0.2">
      <c r="B7" s="382" t="s">
        <v>282</v>
      </c>
      <c r="C7" s="1"/>
      <c r="D7" s="1"/>
      <c r="E7" s="27"/>
    </row>
    <row r="8" spans="1:5" x14ac:dyDescent="0.2">
      <c r="D8" s="131"/>
    </row>
    <row r="9" spans="1:5" ht="34.5" customHeight="1" x14ac:dyDescent="0.2">
      <c r="B9" s="203">
        <v>1</v>
      </c>
      <c r="C9" s="209" t="s">
        <v>1</v>
      </c>
      <c r="D9" s="113">
        <v>44875</v>
      </c>
    </row>
    <row r="10" spans="1:5" ht="34.5" customHeight="1" x14ac:dyDescent="0.2">
      <c r="B10" s="203">
        <v>2</v>
      </c>
      <c r="C10" s="205" t="s">
        <v>303</v>
      </c>
      <c r="D10" s="151" t="s">
        <v>782</v>
      </c>
    </row>
    <row r="11" spans="1:5" ht="34.5" customHeight="1" x14ac:dyDescent="0.2">
      <c r="B11" s="203">
        <v>3</v>
      </c>
      <c r="C11" s="204" t="s">
        <v>0</v>
      </c>
      <c r="D11" s="135" t="s">
        <v>56</v>
      </c>
    </row>
    <row r="12" spans="1:5" ht="34.5" customHeight="1" x14ac:dyDescent="0.2">
      <c r="B12" s="203">
        <v>4</v>
      </c>
      <c r="C12" s="206" t="s">
        <v>113</v>
      </c>
      <c r="D12" s="182">
        <f>IF(ISBLANK(D11),"",VLOOKUP(D11,Info_County_Code,2))</f>
        <v>21</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94903</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2021-2022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Marin</v>
      </c>
      <c r="F9" s="226" t="s">
        <v>1</v>
      </c>
      <c r="G9" s="346">
        <f>IF(ISBLANK('1. Information'!D9),"",'1. Information'!D9)</f>
        <v>44875</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Marin</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ERROR</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27" t="s">
        <v>148</v>
      </c>
      <c r="B1" s="42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30" t="s">
        <v>171</v>
      </c>
      <c r="B2" s="430"/>
      <c r="C2" s="430"/>
      <c r="D2" s="430"/>
      <c r="E2" s="430"/>
    </row>
    <row r="3" spans="1:7" ht="14.25" customHeight="1" x14ac:dyDescent="0.25">
      <c r="A3" s="430" t="s">
        <v>235</v>
      </c>
      <c r="B3" s="430"/>
      <c r="C3" s="430"/>
      <c r="D3" s="430"/>
      <c r="E3" s="430"/>
    </row>
    <row r="4" spans="1:7" ht="14.25" customHeight="1" thickBot="1" x14ac:dyDescent="0.3">
      <c r="A4" s="57"/>
      <c r="B4" s="58"/>
      <c r="C4" s="59"/>
      <c r="D4" s="60"/>
    </row>
    <row r="5" spans="1:7" ht="14.25" customHeight="1" x14ac:dyDescent="0.25">
      <c r="A5" s="61" t="s">
        <v>172</v>
      </c>
      <c r="B5" s="429" t="s">
        <v>173</v>
      </c>
      <c r="C5" s="42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topLeftCell="C13" zoomScale="98" zoomScaleNormal="98" zoomScaleSheetLayoutView="40" zoomScalePageLayoutView="85" workbookViewId="0">
      <selection activeCell="H22" sqref="H22"/>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2021-2022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Marin</v>
      </c>
      <c r="F9" s="210" t="s">
        <v>1</v>
      </c>
      <c r="G9" s="185">
        <f>IF(ISBLANK('1. Information'!D9),"",'1. Information'!D9)</f>
        <v>44875</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13910.71</v>
      </c>
      <c r="E14" s="149">
        <v>3477.68</v>
      </c>
      <c r="F14" s="149">
        <v>915.18</v>
      </c>
      <c r="G14" s="149"/>
      <c r="H14" s="149"/>
      <c r="I14" s="186">
        <f>SUM(D14:H14)</f>
        <v>18303.57</v>
      </c>
    </row>
    <row r="15" spans="1:9" x14ac:dyDescent="0.2">
      <c r="B15" s="218">
        <v>2</v>
      </c>
      <c r="C15" s="219" t="s">
        <v>278</v>
      </c>
      <c r="D15" s="164"/>
      <c r="E15" s="164">
        <v>19.73</v>
      </c>
      <c r="F15" s="164">
        <v>1090.81</v>
      </c>
      <c r="G15" s="164"/>
      <c r="H15" s="164"/>
      <c r="I15" s="186">
        <f>SUM(D15:H15)</f>
        <v>1110.54</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2175490</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2175490</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-2408190</v>
      </c>
      <c r="E27" s="188">
        <f>'3. CSS'!F21</f>
        <v>0</v>
      </c>
      <c r="F27" s="186">
        <f>'3. CSS'!F22</f>
        <v>465344</v>
      </c>
      <c r="G27" s="194">
        <f>'3. CSS'!F23</f>
        <v>1942846</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10131919.989999998</v>
      </c>
      <c r="E31" s="194">
        <f>'4. PEI'!F22</f>
        <v>2781216.54</v>
      </c>
      <c r="F31" s="194">
        <f>'5. INN'!F23</f>
        <v>495462.9</v>
      </c>
      <c r="G31" s="194">
        <f>'6. WET'!F21</f>
        <v>376051.93</v>
      </c>
      <c r="H31" s="194">
        <f>'7. CFTN'!F21</f>
        <v>519421.96</v>
      </c>
      <c r="I31" s="194">
        <f t="shared" ref="I31:I35" si="0">SUM(D31:H31)</f>
        <v>14304073.319999998</v>
      </c>
    </row>
    <row r="32" spans="2:10" x14ac:dyDescent="0.2">
      <c r="B32" s="211">
        <v>10</v>
      </c>
      <c r="C32" s="223" t="s">
        <v>4</v>
      </c>
      <c r="D32" s="189">
        <f>'3. CSS'!G27</f>
        <v>4961059.1599999992</v>
      </c>
      <c r="E32" s="189">
        <f>'4. PEI'!G22</f>
        <v>0</v>
      </c>
      <c r="F32" s="189">
        <f>'5. INN'!G23</f>
        <v>945.6</v>
      </c>
      <c r="G32" s="189">
        <f>'6. WET'!G21</f>
        <v>0</v>
      </c>
      <c r="H32" s="189">
        <f>'7. CFTN'!G21</f>
        <v>0</v>
      </c>
      <c r="I32" s="194">
        <f t="shared" si="0"/>
        <v>4962004.7599999988</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517447.46</v>
      </c>
      <c r="E35" s="189">
        <f>'4. PEI'!J22</f>
        <v>99968.67</v>
      </c>
      <c r="F35" s="189">
        <f>'5. INN'!J23</f>
        <v>0</v>
      </c>
      <c r="G35" s="189">
        <f>'6. WET'!J21</f>
        <v>61671.73</v>
      </c>
      <c r="H35" s="189">
        <f>'7. CFTN'!J21</f>
        <v>0</v>
      </c>
      <c r="I35" s="194">
        <f t="shared" si="0"/>
        <v>679087.86</v>
      </c>
    </row>
    <row r="36" spans="2:9" ht="15.75" x14ac:dyDescent="0.25">
      <c r="B36" s="211">
        <v>14</v>
      </c>
      <c r="C36" s="224" t="s">
        <v>21</v>
      </c>
      <c r="D36" s="195">
        <f>SUM(D31:D35)</f>
        <v>15610426.609999999</v>
      </c>
      <c r="E36" s="195">
        <f t="shared" ref="E36:H36" si="1">SUM(E31:E35)</f>
        <v>2881185.21</v>
      </c>
      <c r="F36" s="195">
        <f t="shared" si="1"/>
        <v>496408.5</v>
      </c>
      <c r="G36" s="195">
        <f t="shared" si="1"/>
        <v>437723.66</v>
      </c>
      <c r="H36" s="195">
        <f t="shared" si="1"/>
        <v>519421.96</v>
      </c>
      <c r="I36" s="196">
        <f>SUM(D36:H36)</f>
        <v>19945165.940000001</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68216.3</v>
      </c>
      <c r="E40" s="154"/>
      <c r="F40" s="120"/>
      <c r="H40" s="120"/>
      <c r="I40" s="122"/>
    </row>
    <row r="41" spans="2:9" ht="15.75" x14ac:dyDescent="0.25">
      <c r="B41" s="211">
        <v>16</v>
      </c>
      <c r="C41" s="162" t="s">
        <v>19</v>
      </c>
      <c r="D41" s="197">
        <f>'3. CSS'!F16+'4. PEI'!F16+'5. INN'!F20+'6. WET'!F16+'7. CFTN'!F16</f>
        <v>71539.56</v>
      </c>
      <c r="E41" s="121"/>
      <c r="F41" s="120"/>
      <c r="G41" s="120"/>
      <c r="H41" s="120"/>
      <c r="I41" s="122"/>
    </row>
    <row r="42" spans="2:9" ht="15.75" x14ac:dyDescent="0.25">
      <c r="B42" s="211">
        <v>17</v>
      </c>
      <c r="C42" s="162" t="s">
        <v>20</v>
      </c>
      <c r="D42" s="198">
        <f>'3. CSS'!F17+'4. PEI'!F17+'5. INN'!F16+'5. INN'!F19+'6. WET'!F17+'7. CFTN'!F17</f>
        <v>3060962.5759999999</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row>
    <row r="46" spans="2:9" ht="15.75" x14ac:dyDescent="0.25">
      <c r="B46" s="211">
        <v>21</v>
      </c>
      <c r="C46" s="162" t="s">
        <v>249</v>
      </c>
      <c r="D46" s="149"/>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election activeCell="J17" sqref="J17"/>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2021-2022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Marin</v>
      </c>
      <c r="E9" s="123"/>
      <c r="F9" s="226" t="s">
        <v>1</v>
      </c>
      <c r="G9" s="227">
        <f>IF(ISBLANK('1. Information'!D9),"",'1. Information'!D9)</f>
        <v>44875</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f>68216.3-G15-H15-I15-J15</f>
        <v>38579.86</v>
      </c>
      <c r="G15" s="136"/>
      <c r="H15" s="136"/>
      <c r="I15" s="136"/>
      <c r="J15" s="136">
        <f>15127.66+14508.78</f>
        <v>29636.440000000002</v>
      </c>
      <c r="K15" s="241">
        <f>SUM(F15:J15)</f>
        <v>68216.3</v>
      </c>
      <c r="L15" s="175"/>
    </row>
    <row r="16" spans="1:12" ht="15" customHeight="1" x14ac:dyDescent="0.25">
      <c r="A16" s="123"/>
      <c r="B16" s="234">
        <v>2</v>
      </c>
      <c r="C16" s="163" t="s">
        <v>7</v>
      </c>
      <c r="D16" s="242"/>
      <c r="E16" s="243"/>
      <c r="F16" s="136">
        <f>54342.24-G16-H16-I16-J16</f>
        <v>54342.239999999998</v>
      </c>
      <c r="G16" s="136"/>
      <c r="H16" s="136"/>
      <c r="I16" s="136"/>
      <c r="J16" s="136"/>
      <c r="K16" s="241">
        <f t="shared" ref="K16:K17" si="0">SUM(F16:J16)</f>
        <v>54342.239999999998</v>
      </c>
      <c r="L16" s="175"/>
    </row>
    <row r="17" spans="1:12" ht="15.75" customHeight="1" x14ac:dyDescent="0.25">
      <c r="A17" s="123"/>
      <c r="B17" s="234">
        <v>3</v>
      </c>
      <c r="C17" s="163" t="s">
        <v>117</v>
      </c>
      <c r="D17" s="242"/>
      <c r="E17" s="243"/>
      <c r="F17" s="136">
        <f>206028.7+202998.84+2526495.07-558960.37-G17-H17-I17-J17</f>
        <v>2271688.4099999997</v>
      </c>
      <c r="G17" s="136"/>
      <c r="H17" s="136"/>
      <c r="I17" s="136"/>
      <c r="J17" s="136">
        <f>15964.52+43526.33+45382.98</f>
        <v>104873.83000000002</v>
      </c>
      <c r="K17" s="241">
        <f t="shared" si="0"/>
        <v>2376562.2399999998</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465344</v>
      </c>
      <c r="G22" s="246"/>
      <c r="H22" s="246"/>
      <c r="I22" s="246"/>
      <c r="J22" s="246"/>
      <c r="K22" s="241">
        <f t="shared" si="1"/>
        <v>465344</v>
      </c>
      <c r="L22" s="175"/>
    </row>
    <row r="23" spans="1:12" x14ac:dyDescent="0.25">
      <c r="A23" s="124"/>
      <c r="B23" s="218">
        <v>9</v>
      </c>
      <c r="C23" s="242" t="s">
        <v>193</v>
      </c>
      <c r="D23" s="245"/>
      <c r="E23" s="243"/>
      <c r="F23" s="136">
        <v>1942846</v>
      </c>
      <c r="G23" s="246"/>
      <c r="H23" s="246"/>
      <c r="I23" s="246"/>
      <c r="J23" s="246"/>
      <c r="K23" s="241">
        <f t="shared" si="1"/>
        <v>1942846</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7767309.4799999995</v>
      </c>
      <c r="G25" s="246">
        <f>SUM(H34:H133)</f>
        <v>4961059.1599999992</v>
      </c>
      <c r="H25" s="246">
        <f>SUM(I34:I133)</f>
        <v>0</v>
      </c>
      <c r="I25" s="246">
        <f>SUM(J34:J133)</f>
        <v>0</v>
      </c>
      <c r="J25" s="246">
        <f>SUM(K34:K133)</f>
        <v>382937.19</v>
      </c>
      <c r="K25" s="246">
        <f>SUM(F25:J25)</f>
        <v>13111305.829999998</v>
      </c>
      <c r="L25" s="175"/>
    </row>
    <row r="26" spans="1:12" ht="30.95" customHeight="1" x14ac:dyDescent="0.25">
      <c r="A26" s="123"/>
      <c r="B26" s="234">
        <v>12</v>
      </c>
      <c r="C26" s="247" t="s">
        <v>190</v>
      </c>
      <c r="D26" s="248"/>
      <c r="E26" s="249"/>
      <c r="F26" s="250">
        <f t="shared" ref="F26" si="2">SUM(F15:F17,F19:F25)</f>
        <v>12540109.989999998</v>
      </c>
      <c r="G26" s="250">
        <f>SUM(G15:G17,G25)</f>
        <v>4961059.1599999992</v>
      </c>
      <c r="H26" s="251">
        <f>SUM(H15:H17,H25)</f>
        <v>0</v>
      </c>
      <c r="I26" s="250">
        <f>SUM(I15:I17,I25)</f>
        <v>0</v>
      </c>
      <c r="J26" s="250">
        <f>SUM(J15:J17,J25)</f>
        <v>517447.46</v>
      </c>
      <c r="K26" s="250">
        <f>SUM(F26:J26)</f>
        <v>18018616.609999999</v>
      </c>
      <c r="L26" s="175"/>
    </row>
    <row r="27" spans="1:12" ht="30.95" customHeight="1" x14ac:dyDescent="0.25">
      <c r="A27" s="123"/>
      <c r="B27" s="234">
        <v>13</v>
      </c>
      <c r="C27" s="252" t="s">
        <v>675</v>
      </c>
      <c r="D27" s="252"/>
      <c r="E27" s="252"/>
      <c r="F27" s="250">
        <f>SUM(F15:F17,F19,F20,F25)</f>
        <v>10131919.989999998</v>
      </c>
      <c r="G27" s="250">
        <f>SUM(G15:G17,G25)</f>
        <v>4961059.1599999992</v>
      </c>
      <c r="H27" s="250">
        <f t="shared" ref="H27:J27" si="3">SUM(H15:H17,H25)</f>
        <v>0</v>
      </c>
      <c r="I27" s="250">
        <f t="shared" si="3"/>
        <v>0</v>
      </c>
      <c r="J27" s="250">
        <f t="shared" si="3"/>
        <v>517447.46</v>
      </c>
      <c r="K27" s="250">
        <f>SUM(F27:J27)</f>
        <v>15610426.609999999</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21</v>
      </c>
      <c r="D34" s="148" t="s">
        <v>827</v>
      </c>
      <c r="E34" s="144"/>
      <c r="F34" s="127" t="s">
        <v>95</v>
      </c>
      <c r="G34" s="126">
        <f>1161122.36-H34-I34-J34-K34</f>
        <v>892602.65000000014</v>
      </c>
      <c r="H34" s="126">
        <v>268519.71000000002</v>
      </c>
      <c r="I34" s="126"/>
      <c r="J34" s="129"/>
      <c r="K34" s="126"/>
      <c r="L34" s="246">
        <f>SUM(G34:K34)</f>
        <v>1161122.3600000001</v>
      </c>
    </row>
    <row r="35" spans="1:12" x14ac:dyDescent="0.25">
      <c r="A35" s="123"/>
      <c r="B35" s="262">
        <v>15</v>
      </c>
      <c r="C35" s="263">
        <f t="shared" si="4"/>
        <v>21</v>
      </c>
      <c r="D35" s="148" t="s">
        <v>828</v>
      </c>
      <c r="E35" s="144"/>
      <c r="F35" s="127" t="s">
        <v>95</v>
      </c>
      <c r="G35" s="126">
        <f>833957+1243.78-H35-I35-J35-K35</f>
        <v>467777.63</v>
      </c>
      <c r="H35" s="126">
        <v>367423.15</v>
      </c>
      <c r="I35" s="126"/>
      <c r="J35" s="129"/>
      <c r="K35" s="126"/>
      <c r="L35" s="246">
        <f t="shared" ref="L35:L98" si="5">SUM(G35:K35)</f>
        <v>835200.78</v>
      </c>
    </row>
    <row r="36" spans="1:12" x14ac:dyDescent="0.25">
      <c r="A36" s="123"/>
      <c r="B36" s="262">
        <v>16</v>
      </c>
      <c r="C36" s="263">
        <f t="shared" si="4"/>
        <v>21</v>
      </c>
      <c r="D36" s="148" t="s">
        <v>829</v>
      </c>
      <c r="E36" s="144"/>
      <c r="F36" s="127" t="s">
        <v>95</v>
      </c>
      <c r="G36" s="126">
        <f>1010135.75+1243.78-H36-I36-J36-K36</f>
        <v>640193.16</v>
      </c>
      <c r="H36" s="126">
        <v>371186.37</v>
      </c>
      <c r="I36" s="126"/>
      <c r="J36" s="129"/>
      <c r="K36" s="126"/>
      <c r="L36" s="246">
        <f t="shared" si="5"/>
        <v>1011379.53</v>
      </c>
    </row>
    <row r="37" spans="1:12" x14ac:dyDescent="0.25">
      <c r="A37" s="123"/>
      <c r="B37" s="262">
        <v>17</v>
      </c>
      <c r="C37" s="263">
        <f t="shared" si="4"/>
        <v>21</v>
      </c>
      <c r="D37" s="148" t="s">
        <v>830</v>
      </c>
      <c r="E37" s="144"/>
      <c r="F37" s="127" t="s">
        <v>95</v>
      </c>
      <c r="G37" s="126">
        <f>856886.5+1243.78-H37-I37-J37-K37</f>
        <v>193463.12</v>
      </c>
      <c r="H37" s="126">
        <v>599309.78</v>
      </c>
      <c r="I37" s="126"/>
      <c r="J37" s="129"/>
      <c r="K37" s="126">
        <v>65357.38</v>
      </c>
      <c r="L37" s="246">
        <f t="shared" si="5"/>
        <v>858130.28</v>
      </c>
    </row>
    <row r="38" spans="1:12" x14ac:dyDescent="0.25">
      <c r="A38" s="123"/>
      <c r="B38" s="262">
        <v>18</v>
      </c>
      <c r="C38" s="263">
        <f t="shared" si="4"/>
        <v>21</v>
      </c>
      <c r="D38" s="148" t="s">
        <v>831</v>
      </c>
      <c r="E38" s="144"/>
      <c r="F38" s="127" t="s">
        <v>95</v>
      </c>
      <c r="G38" s="126">
        <f>2100541.94+1243.78-H38-I38-J38-K38</f>
        <v>607261.17999999982</v>
      </c>
      <c r="H38" s="126">
        <v>1448374.22</v>
      </c>
      <c r="I38" s="126"/>
      <c r="J38" s="129"/>
      <c r="K38" s="126">
        <v>46150.32</v>
      </c>
      <c r="L38" s="246">
        <f t="shared" si="5"/>
        <v>2101785.7199999997</v>
      </c>
    </row>
    <row r="39" spans="1:12" x14ac:dyDescent="0.25">
      <c r="A39" s="123"/>
      <c r="B39" s="262">
        <v>19</v>
      </c>
      <c r="C39" s="263">
        <f t="shared" si="4"/>
        <v>21</v>
      </c>
      <c r="D39" s="148" t="s">
        <v>832</v>
      </c>
      <c r="E39" s="144"/>
      <c r="F39" s="127" t="s">
        <v>95</v>
      </c>
      <c r="G39" s="126">
        <f>998703.73+1243.78-H39-I39-J39-K39</f>
        <v>440030.76</v>
      </c>
      <c r="H39" s="126">
        <v>500924.05</v>
      </c>
      <c r="I39" s="126"/>
      <c r="J39" s="129"/>
      <c r="K39" s="126">
        <v>58992.7</v>
      </c>
      <c r="L39" s="246">
        <f t="shared" si="5"/>
        <v>999947.51</v>
      </c>
    </row>
    <row r="40" spans="1:12" x14ac:dyDescent="0.25">
      <c r="A40" s="123"/>
      <c r="B40" s="262">
        <v>20</v>
      </c>
      <c r="C40" s="263">
        <f t="shared" si="4"/>
        <v>21</v>
      </c>
      <c r="D40" s="148" t="s">
        <v>833</v>
      </c>
      <c r="E40" s="144"/>
      <c r="F40" s="127" t="s">
        <v>96</v>
      </c>
      <c r="G40" s="126">
        <f>449239.18-H40-I40-J40-K40</f>
        <v>449239.18</v>
      </c>
      <c r="H40" s="126"/>
      <c r="I40" s="126"/>
      <c r="J40" s="129"/>
      <c r="K40" s="126"/>
      <c r="L40" s="246">
        <f t="shared" si="5"/>
        <v>449239.18</v>
      </c>
    </row>
    <row r="41" spans="1:12" x14ac:dyDescent="0.25">
      <c r="A41" s="123"/>
      <c r="B41" s="262">
        <v>21</v>
      </c>
      <c r="C41" s="263">
        <f t="shared" si="4"/>
        <v>21</v>
      </c>
      <c r="D41" s="148" t="s">
        <v>834</v>
      </c>
      <c r="E41" s="144"/>
      <c r="F41" s="127" t="s">
        <v>96</v>
      </c>
      <c r="G41" s="126">
        <f>2409997.38-H41-I41-J41-K41</f>
        <v>1387528.9799999997</v>
      </c>
      <c r="H41" s="126">
        <f>887618+441.8</f>
        <v>888059.8</v>
      </c>
      <c r="I41" s="126"/>
      <c r="J41" s="129"/>
      <c r="K41" s="126">
        <v>134408.6</v>
      </c>
      <c r="L41" s="246">
        <f t="shared" si="5"/>
        <v>2409997.38</v>
      </c>
    </row>
    <row r="42" spans="1:12" x14ac:dyDescent="0.25">
      <c r="A42" s="123"/>
      <c r="B42" s="262">
        <v>22</v>
      </c>
      <c r="C42" s="263">
        <f t="shared" si="4"/>
        <v>21</v>
      </c>
      <c r="D42" s="148" t="s">
        <v>835</v>
      </c>
      <c r="E42" s="144"/>
      <c r="F42" s="127" t="s">
        <v>96</v>
      </c>
      <c r="G42" s="126">
        <f>157285.76-H42-I42-J42-K42</f>
        <v>19870.72</v>
      </c>
      <c r="H42" s="126">
        <v>137415.04000000001</v>
      </c>
      <c r="I42" s="126"/>
      <c r="J42" s="129"/>
      <c r="K42" s="126"/>
      <c r="L42" s="246">
        <f t="shared" si="5"/>
        <v>157285.76000000001</v>
      </c>
    </row>
    <row r="43" spans="1:12" x14ac:dyDescent="0.25">
      <c r="A43" s="123"/>
      <c r="B43" s="262">
        <v>23</v>
      </c>
      <c r="C43" s="263">
        <f t="shared" si="4"/>
        <v>21</v>
      </c>
      <c r="D43" s="148" t="s">
        <v>836</v>
      </c>
      <c r="E43" s="144"/>
      <c r="F43" s="127" t="s">
        <v>96</v>
      </c>
      <c r="G43" s="126">
        <f>279178.76-H43-I43-J43-K43</f>
        <v>279178.76</v>
      </c>
      <c r="H43" s="126"/>
      <c r="I43" s="126"/>
      <c r="J43" s="129"/>
      <c r="K43" s="126"/>
      <c r="L43" s="246">
        <f t="shared" si="5"/>
        <v>279178.76</v>
      </c>
    </row>
    <row r="44" spans="1:12" ht="30.75" x14ac:dyDescent="0.25">
      <c r="A44" s="123"/>
      <c r="B44" s="262">
        <v>24</v>
      </c>
      <c r="C44" s="263">
        <f t="shared" si="4"/>
        <v>21</v>
      </c>
      <c r="D44" s="134" t="s">
        <v>837</v>
      </c>
      <c r="E44" s="144"/>
      <c r="F44" s="127" t="s">
        <v>96</v>
      </c>
      <c r="G44" s="126">
        <f>908162.84-H44-I44-J44-K44</f>
        <v>681738.3899999999</v>
      </c>
      <c r="H44" s="126">
        <v>200326.52</v>
      </c>
      <c r="I44" s="126"/>
      <c r="J44" s="129"/>
      <c r="K44" s="126">
        <v>26097.93</v>
      </c>
      <c r="L44" s="246">
        <f t="shared" si="5"/>
        <v>908162.84</v>
      </c>
    </row>
    <row r="45" spans="1:12" x14ac:dyDescent="0.25">
      <c r="A45" s="123"/>
      <c r="B45" s="262">
        <v>25</v>
      </c>
      <c r="C45" s="263">
        <f t="shared" si="4"/>
        <v>21</v>
      </c>
      <c r="D45" s="148" t="s">
        <v>838</v>
      </c>
      <c r="E45" s="144"/>
      <c r="F45" s="127" t="s">
        <v>96</v>
      </c>
      <c r="G45" s="126">
        <f>314840.55-H45-I45-J45-K45</f>
        <v>314509.58999999997</v>
      </c>
      <c r="H45" s="126">
        <v>330.96</v>
      </c>
      <c r="I45" s="126"/>
      <c r="J45" s="129"/>
      <c r="K45" s="126"/>
      <c r="L45" s="246">
        <f t="shared" si="5"/>
        <v>314840.55</v>
      </c>
    </row>
    <row r="46" spans="1:12" x14ac:dyDescent="0.25">
      <c r="A46" s="123"/>
      <c r="B46" s="262">
        <v>26</v>
      </c>
      <c r="C46" s="263">
        <f t="shared" si="4"/>
        <v>21</v>
      </c>
      <c r="D46" s="148" t="s">
        <v>839</v>
      </c>
      <c r="E46" s="144"/>
      <c r="F46" s="127" t="s">
        <v>96</v>
      </c>
      <c r="G46" s="126">
        <f>582643.43-H46-I46-J46-K46</f>
        <v>430134.11000000004</v>
      </c>
      <c r="H46" s="126">
        <v>124590.81</v>
      </c>
      <c r="I46" s="126"/>
      <c r="J46" s="129"/>
      <c r="K46" s="126">
        <v>27918.51</v>
      </c>
      <c r="L46" s="246">
        <f t="shared" si="5"/>
        <v>582643.43000000005</v>
      </c>
    </row>
    <row r="47" spans="1:12" x14ac:dyDescent="0.25">
      <c r="A47" s="123"/>
      <c r="B47" s="262">
        <v>27</v>
      </c>
      <c r="C47" s="263">
        <f t="shared" si="4"/>
        <v>21</v>
      </c>
      <c r="D47" s="148" t="s">
        <v>840</v>
      </c>
      <c r="E47" s="144"/>
      <c r="F47" s="127" t="s">
        <v>96</v>
      </c>
      <c r="G47" s="126">
        <f>1042391.75-H47-I47-J47-K47</f>
        <v>963781.25</v>
      </c>
      <c r="H47" s="126">
        <v>54598.75</v>
      </c>
      <c r="I47" s="126"/>
      <c r="J47" s="129"/>
      <c r="K47" s="126">
        <v>24011.75</v>
      </c>
      <c r="L47" s="246">
        <f t="shared" si="5"/>
        <v>1042391.75</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57" zoomScaleNormal="57" zoomScaleSheetLayoutView="40" zoomScalePageLayoutView="80" workbookViewId="0">
      <selection activeCell="J52" sqref="J52"/>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2021-2022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Marin</v>
      </c>
      <c r="E9" s="27" t="str">
        <f>IF(ISBLANK('1. Information'!D11),"",'1. Information'!D11)</f>
        <v>Marin</v>
      </c>
      <c r="F9" s="226" t="s">
        <v>1</v>
      </c>
      <c r="G9" s="264">
        <f>IF(ISBLANK('1. Information'!D9),"",'1. Information'!D9)</f>
        <v>44875</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175486.13-103268.17+76009.11+365071.89-G17-H17-I17-J17</f>
        <v>494862.516</v>
      </c>
      <c r="G17" s="136"/>
      <c r="H17" s="136"/>
      <c r="I17" s="136"/>
      <c r="J17" s="136">
        <f>-P39+46091.11</f>
        <v>18436.444</v>
      </c>
      <c r="K17" s="241">
        <f t="shared" si="0"/>
        <v>513298.96</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80985.6</f>
        <v>80985.600000000006</v>
      </c>
      <c r="G19" s="244"/>
      <c r="H19" s="244"/>
      <c r="I19" s="244"/>
      <c r="J19" s="244"/>
      <c r="K19" s="241">
        <f t="shared" ref="K19:K20" si="1">F19</f>
        <v>80985.600000000006</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65689.240000000005</v>
      </c>
      <c r="G20" s="244"/>
      <c r="H20" s="244"/>
      <c r="I20" s="244"/>
      <c r="J20" s="244"/>
      <c r="K20" s="241">
        <f t="shared" si="1"/>
        <v>65689.240000000005</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2220664.784</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81532.225999999995</v>
      </c>
      <c r="K21" s="246">
        <f t="shared" si="0"/>
        <v>2302197.0099999998</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2781216.54</v>
      </c>
      <c r="G22" s="279">
        <f t="shared" ref="G22:J22" si="2">SUM(G15:G17,G20:G21)</f>
        <v>0</v>
      </c>
      <c r="H22" s="279">
        <f t="shared" si="2"/>
        <v>0</v>
      </c>
      <c r="I22" s="279">
        <f t="shared" si="2"/>
        <v>0</v>
      </c>
      <c r="J22" s="279">
        <f t="shared" si="2"/>
        <v>99968.67</v>
      </c>
      <c r="K22" s="279">
        <f t="shared" si="0"/>
        <v>2881185.21</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0.51924999530960658</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21</v>
      </c>
      <c r="D34" s="134" t="s">
        <v>797</v>
      </c>
      <c r="E34" s="144"/>
      <c r="F34" s="147" t="s">
        <v>125</v>
      </c>
      <c r="G34" s="148" t="s">
        <v>121</v>
      </c>
      <c r="H34" s="33"/>
      <c r="I34" s="36">
        <v>1</v>
      </c>
      <c r="J34" s="36">
        <v>1</v>
      </c>
      <c r="K34" s="302">
        <f>IF(OR(G34="Combined Summary",F34="Standalone"),(SUMPRODUCT(--(D$34:D$133=D34),I$34:I$133,J$34:J$133)),"")</f>
        <v>1</v>
      </c>
      <c r="L34" s="126">
        <f>239999.99-M34-N34-O34-P34</f>
        <v>239999.99</v>
      </c>
      <c r="M34" s="133"/>
      <c r="N34" s="30"/>
      <c r="O34" s="30"/>
      <c r="P34" s="30"/>
      <c r="Q34" s="303">
        <f>SUM(L34:P34)</f>
        <v>239999.99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21</v>
      </c>
      <c r="D35" s="134" t="s">
        <v>798</v>
      </c>
      <c r="E35" s="144"/>
      <c r="F35" s="147" t="s">
        <v>125</v>
      </c>
      <c r="G35" s="148" t="s">
        <v>122</v>
      </c>
      <c r="H35" s="33"/>
      <c r="I35" s="36">
        <v>1</v>
      </c>
      <c r="J35" s="36">
        <v>1</v>
      </c>
      <c r="K35" s="302">
        <f t="shared" ref="K35:K98" si="4">IF(OR(G35="Combined Summary",F35="Standalone"),(SUMPRODUCT(--(D$34:D$133=D35),I$34:I$133,J$34:J$133)),"")</f>
        <v>1</v>
      </c>
      <c r="L35" s="126">
        <f>264644.26-M35-N35-O35-P35</f>
        <v>264644.26</v>
      </c>
      <c r="M35" s="133"/>
      <c r="N35" s="30"/>
      <c r="O35" s="30"/>
      <c r="P35" s="30"/>
      <c r="Q35" s="303">
        <f t="shared" ref="Q35:Q98" si="5">SUM(L35:P35)</f>
        <v>264644.26</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21</v>
      </c>
      <c r="D36" s="134" t="s">
        <v>800</v>
      </c>
      <c r="E36" s="144"/>
      <c r="F36" s="147" t="s">
        <v>125</v>
      </c>
      <c r="G36" s="148" t="s">
        <v>127</v>
      </c>
      <c r="H36" s="33"/>
      <c r="I36" s="36">
        <v>1</v>
      </c>
      <c r="J36" s="426">
        <v>0.248</v>
      </c>
      <c r="K36" s="302">
        <f t="shared" si="4"/>
        <v>0.248</v>
      </c>
      <c r="L36" s="126">
        <f>315000-M36-N36-O36-P36</f>
        <v>315000</v>
      </c>
      <c r="M36" s="133"/>
      <c r="N36" s="30"/>
      <c r="O36" s="30"/>
      <c r="P36" s="30"/>
      <c r="Q36" s="303">
        <f t="shared" si="5"/>
        <v>315000</v>
      </c>
      <c r="R36" s="178">
        <f t="shared" si="6"/>
        <v>1</v>
      </c>
      <c r="S36" s="180" t="str">
        <f t="shared" si="7"/>
        <v/>
      </c>
      <c r="AL36" s="27"/>
      <c r="AM36" s="27"/>
      <c r="AN36" s="27"/>
    </row>
    <row r="37" spans="2:40" ht="30.75" x14ac:dyDescent="0.25">
      <c r="B37" s="300">
        <v>13</v>
      </c>
      <c r="C37" s="301">
        <f t="shared" si="3"/>
        <v>21</v>
      </c>
      <c r="D37" s="134" t="s">
        <v>799</v>
      </c>
      <c r="E37" s="144"/>
      <c r="F37" s="147" t="s">
        <v>125</v>
      </c>
      <c r="G37" s="148" t="s">
        <v>122</v>
      </c>
      <c r="H37" s="33"/>
      <c r="I37" s="36">
        <v>1</v>
      </c>
      <c r="J37" s="426">
        <v>0</v>
      </c>
      <c r="K37" s="302">
        <f t="shared" si="4"/>
        <v>0</v>
      </c>
      <c r="L37" s="126">
        <f>233488.82-M37-N37-O37-P37</f>
        <v>233488.82</v>
      </c>
      <c r="M37" s="133"/>
      <c r="N37" s="30"/>
      <c r="O37" s="30"/>
      <c r="P37" s="30"/>
      <c r="Q37" s="303">
        <f t="shared" si="5"/>
        <v>233488.82</v>
      </c>
      <c r="R37" s="178">
        <f t="shared" si="6"/>
        <v>1</v>
      </c>
      <c r="S37" s="180" t="str">
        <f t="shared" si="7"/>
        <v/>
      </c>
      <c r="AL37" s="27"/>
      <c r="AM37" s="27"/>
      <c r="AN37" s="27"/>
    </row>
    <row r="38" spans="2:40" x14ac:dyDescent="0.25">
      <c r="B38" s="300">
        <v>14</v>
      </c>
      <c r="C38" s="301">
        <f t="shared" si="3"/>
        <v>21</v>
      </c>
      <c r="D38" s="134" t="s">
        <v>801</v>
      </c>
      <c r="E38" s="144"/>
      <c r="F38" s="147" t="s">
        <v>125</v>
      </c>
      <c r="G38" s="148" t="s">
        <v>128</v>
      </c>
      <c r="H38" s="33"/>
      <c r="I38" s="36">
        <v>1</v>
      </c>
      <c r="J38" s="426">
        <v>0.14799999999999999</v>
      </c>
      <c r="K38" s="302">
        <f t="shared" si="4"/>
        <v>0.14799999999999999</v>
      </c>
      <c r="L38" s="126">
        <f>30591.37-M38-N38-O38-P38</f>
        <v>30591.37</v>
      </c>
      <c r="M38" s="133"/>
      <c r="N38" s="30"/>
      <c r="O38" s="30"/>
      <c r="P38" s="30"/>
      <c r="Q38" s="303">
        <f t="shared" si="5"/>
        <v>30591.37</v>
      </c>
      <c r="R38" s="178">
        <f t="shared" si="6"/>
        <v>1</v>
      </c>
      <c r="S38" s="180" t="str">
        <f t="shared" si="7"/>
        <v/>
      </c>
      <c r="AL38" s="27"/>
      <c r="AM38" s="27"/>
      <c r="AN38" s="27"/>
    </row>
    <row r="39" spans="2:40" ht="30.75" x14ac:dyDescent="0.25">
      <c r="B39" s="300">
        <v>15</v>
      </c>
      <c r="C39" s="301">
        <f t="shared" si="3"/>
        <v>21</v>
      </c>
      <c r="D39" s="134" t="s">
        <v>802</v>
      </c>
      <c r="E39" s="144"/>
      <c r="F39" s="147" t="s">
        <v>125</v>
      </c>
      <c r="G39" s="148" t="s">
        <v>121</v>
      </c>
      <c r="H39" s="33"/>
      <c r="I39" s="36">
        <v>1</v>
      </c>
      <c r="J39" s="426">
        <v>1</v>
      </c>
      <c r="K39" s="302">
        <f t="shared" si="4"/>
        <v>1</v>
      </c>
      <c r="L39" s="126">
        <f>360446.32+103268.17-M39-N39-O39-P39</f>
        <v>436059.82399999996</v>
      </c>
      <c r="M39" s="133"/>
      <c r="N39" s="30"/>
      <c r="O39" s="30"/>
      <c r="P39" s="30">
        <f>46091.11*0.6</f>
        <v>27654.666000000001</v>
      </c>
      <c r="Q39" s="303">
        <f t="shared" si="5"/>
        <v>463714.49</v>
      </c>
      <c r="R39" s="178">
        <f t="shared" si="6"/>
        <v>1</v>
      </c>
      <c r="S39" s="180" t="str">
        <f t="shared" si="7"/>
        <v/>
      </c>
      <c r="AL39" s="27"/>
      <c r="AM39" s="27"/>
      <c r="AN39" s="27"/>
    </row>
    <row r="40" spans="2:40" x14ac:dyDescent="0.25">
      <c r="B40" s="300">
        <v>16</v>
      </c>
      <c r="C40" s="301">
        <f t="shared" si="3"/>
        <v>21</v>
      </c>
      <c r="D40" s="134" t="s">
        <v>803</v>
      </c>
      <c r="E40" s="144"/>
      <c r="F40" s="147" t="s">
        <v>125</v>
      </c>
      <c r="G40" s="148" t="s">
        <v>118</v>
      </c>
      <c r="H40" s="33"/>
      <c r="I40" s="36">
        <v>1</v>
      </c>
      <c r="J40" s="426">
        <v>3.7999999999999999E-2</v>
      </c>
      <c r="K40" s="302">
        <f t="shared" si="4"/>
        <v>3.7999999999999999E-2</v>
      </c>
      <c r="L40" s="126">
        <f>55508.5-M40-N40-O40-P40</f>
        <v>55508.5</v>
      </c>
      <c r="M40" s="133"/>
      <c r="N40" s="30"/>
      <c r="O40" s="30"/>
      <c r="P40" s="30"/>
      <c r="Q40" s="303">
        <f t="shared" si="5"/>
        <v>55508.5</v>
      </c>
      <c r="R40" s="178">
        <f t="shared" si="6"/>
        <v>1</v>
      </c>
      <c r="S40" s="180" t="str">
        <f t="shared" si="7"/>
        <v/>
      </c>
      <c r="AL40" s="27"/>
      <c r="AM40" s="27"/>
      <c r="AN40" s="27"/>
    </row>
    <row r="41" spans="2:40" ht="30.75" x14ac:dyDescent="0.25">
      <c r="B41" s="300">
        <v>17</v>
      </c>
      <c r="C41" s="301">
        <f t="shared" si="3"/>
        <v>21</v>
      </c>
      <c r="D41" s="134" t="s">
        <v>804</v>
      </c>
      <c r="E41" s="144"/>
      <c r="F41" s="147" t="s">
        <v>125</v>
      </c>
      <c r="G41" s="148" t="s">
        <v>129</v>
      </c>
      <c r="H41" s="33"/>
      <c r="I41" s="36">
        <v>1</v>
      </c>
      <c r="J41" s="426">
        <v>0.33260000000000001</v>
      </c>
      <c r="K41" s="302">
        <f t="shared" si="4"/>
        <v>0.33260000000000001</v>
      </c>
      <c r="L41" s="126">
        <f>381184.41-M41-N41-O41-P41</f>
        <v>327306.84999999998</v>
      </c>
      <c r="M41" s="133"/>
      <c r="N41" s="30"/>
      <c r="O41" s="30"/>
      <c r="P41" s="30">
        <v>53877.56</v>
      </c>
      <c r="Q41" s="303">
        <f t="shared" si="5"/>
        <v>381184.41</v>
      </c>
      <c r="R41" s="178">
        <f t="shared" si="6"/>
        <v>1</v>
      </c>
      <c r="S41" s="180" t="str">
        <f t="shared" si="7"/>
        <v/>
      </c>
      <c r="AL41" s="27"/>
      <c r="AM41" s="27"/>
      <c r="AN41" s="27"/>
    </row>
    <row r="42" spans="2:40" x14ac:dyDescent="0.25">
      <c r="B42" s="300">
        <v>18</v>
      </c>
      <c r="C42" s="301">
        <f t="shared" si="3"/>
        <v>21</v>
      </c>
      <c r="D42" s="134" t="s">
        <v>805</v>
      </c>
      <c r="E42" s="144"/>
      <c r="F42" s="147" t="s">
        <v>125</v>
      </c>
      <c r="G42" s="148" t="s">
        <v>118</v>
      </c>
      <c r="H42" s="33"/>
      <c r="I42" s="36">
        <v>1</v>
      </c>
      <c r="J42" s="426">
        <v>1</v>
      </c>
      <c r="K42" s="302">
        <f t="shared" si="4"/>
        <v>1</v>
      </c>
      <c r="L42" s="126">
        <f>253091.09-M42-N42-O42-P42</f>
        <v>253091.09</v>
      </c>
      <c r="M42" s="133"/>
      <c r="N42" s="30"/>
      <c r="O42" s="30"/>
      <c r="P42" s="30"/>
      <c r="Q42" s="303">
        <f t="shared" si="5"/>
        <v>253091.09</v>
      </c>
      <c r="R42" s="178">
        <f t="shared" si="6"/>
        <v>1</v>
      </c>
      <c r="S42" s="180" t="str">
        <f t="shared" si="7"/>
        <v/>
      </c>
      <c r="AL42" s="27"/>
      <c r="AM42" s="27"/>
      <c r="AN42" s="27"/>
    </row>
    <row r="43" spans="2:40" x14ac:dyDescent="0.25">
      <c r="B43" s="300">
        <v>19</v>
      </c>
      <c r="C43" s="301">
        <f t="shared" si="3"/>
        <v>21</v>
      </c>
      <c r="D43" s="134" t="s">
        <v>806</v>
      </c>
      <c r="E43" s="144"/>
      <c r="F43" s="147" t="s">
        <v>125</v>
      </c>
      <c r="G43" s="148" t="s">
        <v>128</v>
      </c>
      <c r="H43" s="33"/>
      <c r="I43" s="36">
        <v>1</v>
      </c>
      <c r="J43" s="426">
        <v>0.216</v>
      </c>
      <c r="K43" s="302">
        <f t="shared" si="4"/>
        <v>0.216</v>
      </c>
      <c r="L43" s="126">
        <f>64974.08-M43-N43-O43-P43</f>
        <v>64974.080000000002</v>
      </c>
      <c r="M43" s="133"/>
      <c r="N43" s="30"/>
      <c r="O43" s="30"/>
      <c r="P43" s="30"/>
      <c r="Q43" s="303">
        <f t="shared" si="5"/>
        <v>64974.080000000002</v>
      </c>
      <c r="R43" s="178">
        <f t="shared" si="6"/>
        <v>1</v>
      </c>
      <c r="S43" s="180" t="str">
        <f t="shared" si="7"/>
        <v/>
      </c>
      <c r="AL43" s="27"/>
      <c r="AM43" s="27"/>
      <c r="AN43" s="27"/>
    </row>
    <row r="44" spans="2:40" x14ac:dyDescent="0.25">
      <c r="B44" s="300">
        <v>20</v>
      </c>
      <c r="C44" s="301" t="str">
        <f t="shared" si="3"/>
        <v/>
      </c>
      <c r="D44" s="144"/>
      <c r="E44" s="144"/>
      <c r="F44" s="147"/>
      <c r="G44" s="148"/>
      <c r="H44" s="33"/>
      <c r="I44" s="36"/>
      <c r="J44" s="36"/>
      <c r="K44" s="302" t="str">
        <f t="shared" si="4"/>
        <v/>
      </c>
      <c r="L44" s="136"/>
      <c r="M44" s="133"/>
      <c r="N44" s="30"/>
      <c r="O44" s="30"/>
      <c r="P44" s="30"/>
      <c r="Q44" s="303">
        <f t="shared" si="5"/>
        <v>0</v>
      </c>
      <c r="R44" s="178" t="str">
        <f t="shared" si="6"/>
        <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DHCSDOC-1797567310-6366</_dlc_DocId>
    <_dlc_DocIdUrl xmlns="69bc34b3-1921-46c7-8c7a-d18363374b4b">
      <Url>http://dhcsgovstaging:88/_layouts/15/DocIdRedir.aspx?ID=DHCSDOC-1797567310-6366</Url>
      <Description>DHCSDOC-1797567310-6366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079DD82-4197-4D6D-88DD-F7668F6BAE52}"/>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Marin-FY-21-22</dc:title>
  <dc:creator>Donna Ures</dc:creator>
  <cp:keywords/>
  <cp:lastModifiedBy>Momenzadeh, Shahrzad</cp:lastModifiedBy>
  <cp:lastPrinted>2019-01-14T22:40:46Z</cp:lastPrinted>
  <dcterms:created xsi:type="dcterms:W3CDTF">2017-07-05T19:48:18Z</dcterms:created>
  <dcterms:modified xsi:type="dcterms:W3CDTF">2023-01-31T22:00:05Z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b73a3732-57fc-4889-834a-7c25faef775d</vt:lpwstr>
  </property>
  <property fmtid="{D5CDD505-2E9C-101B-9397-08002B2CF9AE}" pid="4" name="Remediated">
    <vt:bool>false</vt:bool>
  </property>
  <property fmtid="{D5CDD505-2E9C-101B-9397-08002B2CF9AE}" pid="5" name="Division">
    <vt:lpwstr>11;#Community Services|c23dee46-a4de-4c29-8bbc-79830d9e7d7c</vt:lpwstr>
  </property>
</Properties>
</file>